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mdBoQ267u357aDPdG3gPT+QdmT0aLMehKksao4ylgLdDJUq81rnqMNjRhOfT3WLbNQkRjtQ/VKwl+LaC3X07VQ==" workbookSaltValue="Rq7GvaS2OyVHGFpBpoul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EP19" i="8"/>
  <c r="EP19" i="19"/>
  <c r="T17" i="11"/>
  <c r="AP16" i="20"/>
  <c r="BH9" i="16"/>
  <c r="V15" i="11"/>
  <c r="BJ17" i="11"/>
  <c r="BH15" i="11"/>
  <c r="BH15" i="16"/>
  <c r="Q17" i="20"/>
  <c r="Q18" i="20" s="1"/>
  <c r="V11" i="16"/>
  <c r="BF17" i="11"/>
  <c r="BF16" i="11"/>
  <c r="S17" i="16"/>
  <c r="BL12" i="11"/>
  <c r="AT17" i="20"/>
  <c r="V17" i="16"/>
  <c r="M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D12" i="8"/>
  <c r="J18" i="17"/>
  <c r="L15" i="2"/>
  <c r="L17" i="2"/>
  <c r="V10" i="16"/>
  <c r="V9" i="16"/>
  <c r="BA18" i="13"/>
  <c r="AH20" i="20"/>
  <c r="AL20" i="20"/>
  <c r="AB20" i="20"/>
  <c r="AO20" i="20"/>
  <c r="AN20" i="20"/>
  <c r="Y20" i="20"/>
  <c r="U10" i="11"/>
  <c r="C17" i="6" l="1"/>
  <c r="BD16" i="8"/>
  <c r="H16" i="7" s="1"/>
  <c r="F15" i="17"/>
  <c r="AQ15" i="17" s="1"/>
  <c r="T19" i="8"/>
  <c r="BG15" i="8"/>
  <c r="K15" i="7" s="1"/>
  <c r="AC10" i="11"/>
  <c r="AY13" i="8"/>
  <c r="H13" i="12"/>
  <c r="BF9" i="8"/>
  <c r="H12" i="7"/>
  <c r="E12" i="6"/>
  <c r="AL12" i="11"/>
  <c r="AO12" i="11"/>
  <c r="B10" i="6"/>
  <c r="H12" i="2"/>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K9" i="12"/>
  <c r="F13"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<sst xmlns="http://schemas.openxmlformats.org/spreadsheetml/2006/main" count="2074" uniqueCount="908">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</sst>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cXmOmfjVrzMENDAu4G10pmNBuQu6iH1b3/48L7RxQypHFDKxo0CoyzmnNsk7kYVkm3QNj/E+L2tXD/TxCywWQ==" saltValue="FR+MCLeRdtU2gd1YnBn6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17.755995828988532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77</v>
      </c>
      <c r="D10" s="225">
        <f>IF(ISNUMBER(Datos!I10),Datos!I10," - ")</f>
        <v>77</v>
      </c>
      <c r="E10" s="226">
        <f>IF(ISNUMBER(Datos!J10),Datos!J10," - ")</f>
        <v>33</v>
      </c>
      <c r="F10" s="226">
        <f>IF(ISNUMBER(Datos!K10),Datos!K10," - ")</f>
        <v>39</v>
      </c>
      <c r="G10" s="1034" t="str">
        <f>IF(Datos!E10&lt;&gt;"",Datos!E10,Datos!D10)</f>
        <v>37</v>
      </c>
      <c r="H10" s="227">
        <f>IF(ISNUMBER(Datos!L10),Datos!L10," - ")</f>
        <v>71</v>
      </c>
      <c r="I10" s="1044" t="str">
        <f>IF(ISNUMBER(Datos!AS10/Datos!BM10),Datos!AS10/Datos!BM10," - ")</f>
        <v xml:space="preserve"> - </v>
      </c>
      <c r="J10" s="1045">
        <f>IF(ISNUMBER(Datos!BY10/Datos!CN10),Datos!BY10/Datos!CN10," - ")</f>
        <v>0</v>
      </c>
      <c r="K10" s="230">
        <f t="shared" ref="K10:K12" si="1">IF(ISNUMBER((E10-F10)/C10),(E10-F10)/C10," - ")</f>
        <v>-7.792207792207792E-2</v>
      </c>
      <c r="L10" s="1025">
        <f>IF(ISNUMBER(NºAsuntos!I10/NºAsuntos!G10),(NºAsuntos!I10/NºAsuntos!G10)*11," - ")</f>
        <v>20.025641025641026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12.702786377708978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77</v>
      </c>
      <c r="D13" s="1049">
        <f>SUBTOTAL(9,D9:D12)</f>
        <v>77</v>
      </c>
      <c r="E13" s="1050">
        <f>SUBTOTAL(9,E9:E12)</f>
        <v>33</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4091</v>
      </c>
      <c r="D15" s="225">
        <f>IF(ISNUMBER(IF(D_I="SI",Datos!I15,Datos!I15+Datos!AC15)),IF(D_I="SI",Datos!I15,Datos!I15+Datos!AC15)," - ")</f>
        <v>3695</v>
      </c>
      <c r="E15" s="226">
        <f>IF(ISNUMBER(IF(D_I="SI",Datos!J15,Datos!J15+Datos!AD15)),IF(D_I="SI",Datos!J15,Datos!J15+Datos!AD15)," - ")</f>
        <v>3961</v>
      </c>
      <c r="F15" s="226">
        <f>IF(ISNUMBER(IF(D_I="SI",Datos!K15,Datos!K15+Datos!AE15)),IF(D_I="SI",Datos!K15,Datos!K15+Datos!AE15)," - ")</f>
        <v>3898</v>
      </c>
      <c r="G15" s="1034" t="str">
        <f>IF(Datos!E15&lt;&gt;"",Datos!E15,Datos!D15)</f>
        <v>03</v>
      </c>
      <c r="H15" s="227">
        <f>IF(ISNUMBER(IF(D_I="SI",Datos!L15,Datos!L15+Datos!AF15)),IF(D_I="SI",Datos!L15,Datos!L15+Datos!AF15)," - ")</f>
        <v>4154</v>
      </c>
      <c r="I15" s="1044" t="str">
        <f>IF(ISNUMBER(Datos!AS15/Datos!BM15),Datos!AS15/Datos!BM15," - ")</f>
        <v xml:space="preserve"> - </v>
      </c>
      <c r="J15" s="1045">
        <f>IF(ISNUMBER(Datos!BY15/Datos!CN15),Datos!BY15/Datos!CN15," - ")</f>
        <v>0</v>
      </c>
      <c r="K15" s="230">
        <f t="shared" ref="K15:K17" si="3">IF(ISNUMBER((E15-F15)/C15),(E15-F15)/C15," - ")</f>
        <v>1.5399657785382548E-2</v>
      </c>
      <c r="L15" s="1025">
        <f>IF(ISNUMBER(NºAsuntos!I15/NºAsuntos!G15),(NºAsuntos!I15/NºAsuntos!G15)*11," - ")</f>
        <v>11.722421754746025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162</v>
      </c>
      <c r="D17" s="225">
        <f>IF(ISNUMBER(IF(D_I="SI",Datos!I17,Datos!I17+Datos!AC17)),IF(D_I="SI",Datos!I17,Datos!I17+Datos!AC17)," - ")</f>
        <v>162</v>
      </c>
      <c r="E17" s="226">
        <f>IF(ISNUMBER(IF(D_I="SI",Datos!J17,Datos!J17+Datos!AD17)),IF(D_I="SI",Datos!J17,Datos!J17+Datos!AD17)," - ")</f>
        <v>339</v>
      </c>
      <c r="F17" s="226">
        <f>IF(ISNUMBER(IF(D_I="SI",Datos!K17,Datos!K17+Datos!AE17)),IF(D_I="SI",Datos!K17,Datos!K17+Datos!AE17)," - ")</f>
        <v>354</v>
      </c>
      <c r="G17" s="1034" t="str">
        <f>IF(Datos!E17&lt;&gt;"",Datos!E17,Datos!D17)</f>
        <v>37</v>
      </c>
      <c r="H17" s="227">
        <f>IF(ISNUMBER(IF(D_I="SI",Datos!L17,Datos!L17+Datos!AF17)),IF(D_I="SI",Datos!L17,Datos!L17+Datos!AF17)," - ")</f>
        <v>147</v>
      </c>
      <c r="I17" s="1044" t="str">
        <f>IF(ISNUMBER(Datos!AS17/Datos!BM17),Datos!AS17/Datos!BM17," - ")</f>
        <v xml:space="preserve"> - </v>
      </c>
      <c r="J17" s="1045" t="str">
        <f>IF(ISNUMBER((Datos!BY17+Datos!BZ17)/Datos!CN17),(Datos!BY17+Datos!BZ17)/Datos!CN17," - ")</f>
        <v xml:space="preserve"> - </v>
      </c>
      <c r="K17" s="230">
        <f t="shared" si="3"/>
        <v>-9.2592592592592587E-2</v>
      </c>
      <c r="L17" s="1025">
        <f>IF(ISNUMBER(NºAsuntos!I17/NºAsuntos!G17),(NºAsuntos!I17/NºAsuntos!G17)*11," - ")</f>
        <v>4.5677966101694913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4255</v>
      </c>
      <c r="D18" s="1049">
        <f>SUBTOTAL(9,D15:D17)</f>
        <v>3859</v>
      </c>
      <c r="E18" s="1050">
        <f>SUBTOTAL(9,E15:E17)</f>
        <v>4300</v>
      </c>
      <c r="F18" s="1050">
        <f>SUBTOTAL(9,F15:F17)</f>
        <v>4252</v>
      </c>
      <c r="G18" s="1052" t="str">
        <f ca="1">INDIRECT(CONCATENATE("G",ROW()-1))</f>
        <v>37</v>
      </c>
      <c r="H18" s="1053">
        <f ca="1">SUMIF(G$14:G17,G18,H$14:H17)</f>
        <v>147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4332</v>
      </c>
      <c r="D19" s="1071">
        <f>SUBTOTAL(9,D9:D18)</f>
        <v>3936</v>
      </c>
      <c r="E19" s="1072">
        <f>SUBTOTAL(9,E9:E18)</f>
        <v>4333</v>
      </c>
      <c r="F19" s="1072">
        <f>SUBTOTAL(9,F9:F18)</f>
        <v>4291</v>
      </c>
      <c r="G19" s="1073"/>
      <c r="H19" s="1074">
        <f ca="1">SUMIF(B9:B18,"TOTAL",H9:H18)</f>
        <v>147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j6S1308hapvJ2AFBcTSfaEvHtQb7SBmteJpQaFBQDCnk6t1mpw7Yc+wwheIJNbYdJVfccvxlU9rPkGvyNtypJA==" saltValue="OGEJDOYI6gKzQGJkzi1v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e2xYbWEDx7naU2vSVibsVy3HwFBhoPFeNYKoucsNm/zp7QKjCNYGqFdGtteVHHTcMoSqHSdB+B9AjJNkV5WRw==" saltValue="m8zurSxQPtrIGStScszAq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7016</v>
      </c>
      <c r="J9" s="181">
        <v>5330</v>
      </c>
      <c r="K9" s="181">
        <v>4756</v>
      </c>
      <c r="L9" s="181">
        <v>7687</v>
      </c>
      <c r="M9" s="181">
        <v>1605</v>
      </c>
      <c r="N9" s="181">
        <v>2042</v>
      </c>
      <c r="O9" s="181">
        <v>1377</v>
      </c>
      <c r="P9" s="181">
        <v>944</v>
      </c>
      <c r="Q9" s="181">
        <v>1056</v>
      </c>
      <c r="R9" s="181">
        <v>8065</v>
      </c>
      <c r="S9" s="181">
        <v>6157</v>
      </c>
      <c r="T9" s="181">
        <v>4044</v>
      </c>
      <c r="U9" s="181">
        <v>3563</v>
      </c>
      <c r="V9" s="181">
        <v>6638</v>
      </c>
      <c r="W9" s="181">
        <v>1141</v>
      </c>
      <c r="X9" s="188">
        <v>1846</v>
      </c>
      <c r="Y9" s="191">
        <v>52</v>
      </c>
      <c r="Z9" s="181">
        <v>40</v>
      </c>
      <c r="AA9" s="181">
        <v>39</v>
      </c>
      <c r="AB9" s="181">
        <v>53</v>
      </c>
      <c r="AC9" s="181">
        <v>0</v>
      </c>
      <c r="AD9" s="181">
        <v>0</v>
      </c>
      <c r="AE9" s="181">
        <v>0</v>
      </c>
      <c r="AF9" s="188">
        <v>0</v>
      </c>
      <c r="AG9" s="191">
        <v>62</v>
      </c>
      <c r="AH9" s="181">
        <v>73</v>
      </c>
      <c r="AI9" s="181">
        <v>61</v>
      </c>
      <c r="AJ9" s="192">
        <v>74</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6219</v>
      </c>
      <c r="AZ9" s="123">
        <f>IF(ISNUMBER(IF(J_V="SI",T9,T9+AH9)),IF(J_V="SI",T9,T9+AH9)," - ")</f>
        <v>4117</v>
      </c>
      <c r="BA9" s="124">
        <f>IF(ISNUMBER(IF(J_V="SI",U9,U9+AI9)),IF(J_V="SI",U9,U9+AI9)," - ")</f>
        <v>3624</v>
      </c>
      <c r="BB9" s="124">
        <f>IF(ISNUMBER(IF(J_V="SI",V9,V9+AJ9)),IF(J_V="SI",V9,V9+AJ9)," - ")</f>
        <v>6712</v>
      </c>
      <c r="BC9" s="125">
        <f>IF(ISNUMBER(X9),X9," - ")</f>
        <v>1846</v>
      </c>
      <c r="BD9" s="126">
        <f>IF(ISNUMBER(BA9/AZ9),BA9/AZ9," - ")</f>
        <v>0.88025261112460529</v>
      </c>
      <c r="BE9" s="127">
        <f>IF(ISNUMBER(BB9/BA9),BB9/BA9, " - ")</f>
        <v>1.8520971302428255</v>
      </c>
      <c r="BF9" s="127">
        <f>IF(ISNUMBER(BC9/BA9),BC9/BA9, " - ")</f>
        <v>0.50938189845474613</v>
      </c>
      <c r="BG9" s="196">
        <f>IF(ISNUMBER((AY9+AZ9)/BA9),(AY9+AZ9)/BA9," - ")</f>
        <v>2.8520971302428255</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77</v>
      </c>
      <c r="J10" s="181">
        <v>33</v>
      </c>
      <c r="K10" s="181">
        <v>39</v>
      </c>
      <c r="L10" s="181">
        <v>71</v>
      </c>
      <c r="M10" s="181">
        <v>15</v>
      </c>
      <c r="N10" s="181">
        <v>19</v>
      </c>
      <c r="O10" s="181">
        <v>16</v>
      </c>
      <c r="P10" s="181">
        <v>13</v>
      </c>
      <c r="Q10" s="181">
        <v>42</v>
      </c>
      <c r="R10" s="181">
        <v>95</v>
      </c>
      <c r="S10" s="181">
        <v>70</v>
      </c>
      <c r="T10" s="181">
        <v>28</v>
      </c>
      <c r="U10" s="181">
        <v>40</v>
      </c>
      <c r="V10" s="181">
        <v>58</v>
      </c>
      <c r="W10" s="181">
        <v>5</v>
      </c>
      <c r="X10" s="188">
        <v>31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70</v>
      </c>
      <c r="AZ10" s="129">
        <f t="shared" si="0"/>
        <v>28</v>
      </c>
      <c r="BA10" s="129">
        <f t="shared" si="0"/>
        <v>40</v>
      </c>
      <c r="BB10" s="129">
        <f t="shared" si="0"/>
        <v>58</v>
      </c>
      <c r="BC10" s="125">
        <f t="shared" si="0"/>
        <v>5</v>
      </c>
      <c r="BD10" s="126">
        <f>IF(ISNUMBER(BA10/AZ10),BA10/AZ10," - ")</f>
        <v>1.4285714285714286</v>
      </c>
      <c r="BE10" s="127">
        <f>IF(ISNUMBER(BB10/BA10),BB10/BA10, " - ")</f>
        <v>1.45</v>
      </c>
      <c r="BF10" s="127">
        <f>IF(ISNUMBER(BC10/BA10),BC10/BA10, " - ")</f>
        <v>0.125</v>
      </c>
      <c r="BG10" s="196">
        <f>IF(ISNUMBER((AY10+AZ10)/BA10),(AY10+AZ10)/BA10," - ")</f>
        <v>2.4500000000000002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691</v>
      </c>
      <c r="J11" s="183">
        <v>383</v>
      </c>
      <c r="K11" s="183">
        <v>377</v>
      </c>
      <c r="L11" s="183">
        <v>697</v>
      </c>
      <c r="M11" s="183">
        <v>150</v>
      </c>
      <c r="N11" s="183">
        <v>341</v>
      </c>
      <c r="O11" s="181">
        <v>164</v>
      </c>
      <c r="P11" s="183">
        <v>52</v>
      </c>
      <c r="Q11" s="183">
        <v>59</v>
      </c>
      <c r="R11" s="183">
        <v>556</v>
      </c>
      <c r="S11" s="183">
        <v>632</v>
      </c>
      <c r="T11" s="183">
        <v>422</v>
      </c>
      <c r="U11" s="183">
        <v>423</v>
      </c>
      <c r="V11" s="183">
        <v>631</v>
      </c>
      <c r="W11" s="183">
        <v>165</v>
      </c>
      <c r="X11" s="189">
        <v>397</v>
      </c>
      <c r="Y11" s="191">
        <v>53</v>
      </c>
      <c r="Z11" s="181">
        <v>265</v>
      </c>
      <c r="AA11" s="181">
        <v>269</v>
      </c>
      <c r="AB11" s="181">
        <v>49</v>
      </c>
      <c r="AC11" s="183">
        <v>0</v>
      </c>
      <c r="AD11" s="183">
        <v>0</v>
      </c>
      <c r="AE11" s="183">
        <v>0</v>
      </c>
      <c r="AF11" s="189">
        <v>0</v>
      </c>
      <c r="AG11" s="202">
        <v>153</v>
      </c>
      <c r="AH11" s="183">
        <v>274</v>
      </c>
      <c r="AI11" s="183">
        <v>213</v>
      </c>
      <c r="AJ11" s="203">
        <v>214</v>
      </c>
      <c r="AK11" s="182">
        <v>0</v>
      </c>
      <c r="AL11" s="183">
        <v>0</v>
      </c>
      <c r="AM11" s="183">
        <v>0</v>
      </c>
      <c r="AN11" s="189">
        <v>0</v>
      </c>
      <c r="AO11" s="259">
        <v>2</v>
      </c>
      <c r="AP11" s="155">
        <v>2</v>
      </c>
      <c r="AQ11" s="155">
        <v>2</v>
      </c>
      <c r="AR11" s="154">
        <v>2</v>
      </c>
      <c r="AS11" s="340" t="s">
        <v>792</v>
      </c>
      <c r="AT11" s="203"/>
      <c r="AU11" s="202"/>
      <c r="AV11" s="203"/>
      <c r="AW11" s="202"/>
      <c r="AX11" s="203"/>
      <c r="AY11" s="126">
        <f t="shared" ref="AY11:BB12" si="1">IF(ISNUMBER(IF(J_V="SI",S11,S11+AG11)),IF(J_V="SI",S11,S11+AG11)," - ")</f>
        <v>785</v>
      </c>
      <c r="AZ11" s="127">
        <f t="shared" si="1"/>
        <v>696</v>
      </c>
      <c r="BA11" s="127">
        <f t="shared" si="1"/>
        <v>636</v>
      </c>
      <c r="BB11" s="127">
        <f t="shared" si="1"/>
        <v>845</v>
      </c>
      <c r="BC11" s="125">
        <f>IF(ISNUMBER(X11),X11," - ")</f>
        <v>397</v>
      </c>
      <c r="BD11" s="126">
        <f t="shared" ref="BD11:BD12" si="2">IF(ISNUMBER(BA11/AZ11),BA11/AZ11," - ")</f>
        <v>0.91379310344827591</v>
      </c>
      <c r="BE11" s="127">
        <f t="shared" ref="BE11:BE12" si="3">IF(ISNUMBER(BB11/BA11),BB11/BA11, " - ")</f>
        <v>1.328616352201258</v>
      </c>
      <c r="BF11" s="127">
        <f t="shared" ref="BF11:BF12" si="4">IF(ISNUMBER(BC11/BA11),BC11/BA11, " - ")</f>
        <v>0.62421383647798745</v>
      </c>
      <c r="BG11" s="196">
        <f t="shared" ref="BG11:BG12" si="5">IF(ISNUMBER((AY11+AZ11)/BA11),(AY11+AZ11)/BA11," - ")</f>
        <v>2.3286163522012577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7784</v>
      </c>
      <c r="J13" s="184">
        <f t="shared" si="6"/>
        <v>5746</v>
      </c>
      <c r="K13" s="184">
        <f t="shared" si="6"/>
        <v>5172</v>
      </c>
      <c r="L13" s="184">
        <f t="shared" si="6"/>
        <v>8455</v>
      </c>
      <c r="M13" s="184">
        <f t="shared" si="6"/>
        <v>1770</v>
      </c>
      <c r="N13" s="184">
        <f t="shared" si="6"/>
        <v>2402</v>
      </c>
      <c r="O13" s="184">
        <f t="shared" si="6"/>
        <v>1557</v>
      </c>
      <c r="P13" s="184">
        <f t="shared" si="6"/>
        <v>1009</v>
      </c>
      <c r="Q13" s="184">
        <f t="shared" si="6"/>
        <v>1157</v>
      </c>
      <c r="R13" s="184">
        <f t="shared" si="6"/>
        <v>8716</v>
      </c>
      <c r="S13" s="184">
        <f t="shared" si="6"/>
        <v>6859</v>
      </c>
      <c r="T13" s="184">
        <f t="shared" si="6"/>
        <v>4494</v>
      </c>
      <c r="U13" s="184">
        <f t="shared" si="6"/>
        <v>4026</v>
      </c>
      <c r="V13" s="184">
        <f t="shared" si="6"/>
        <v>7327</v>
      </c>
      <c r="W13" s="184">
        <f t="shared" si="6"/>
        <v>1311</v>
      </c>
      <c r="X13" s="184">
        <f t="shared" si="6"/>
        <v>2274</v>
      </c>
      <c r="Y13" s="184">
        <f t="shared" si="6"/>
        <v>105</v>
      </c>
      <c r="Z13" s="184">
        <f t="shared" si="6"/>
        <v>305</v>
      </c>
      <c r="AA13" s="184">
        <f t="shared" si="6"/>
        <v>308</v>
      </c>
      <c r="AB13" s="184">
        <f t="shared" si="6"/>
        <v>102</v>
      </c>
      <c r="AC13" s="184">
        <f t="shared" si="6"/>
        <v>0</v>
      </c>
      <c r="AD13" s="184">
        <f t="shared" si="6"/>
        <v>0</v>
      </c>
      <c r="AE13" s="184">
        <f t="shared" si="6"/>
        <v>0</v>
      </c>
      <c r="AF13" s="184">
        <f>SUBTOTAL(9,AF9:AF12)</f>
        <v>0</v>
      </c>
      <c r="AG13" s="184">
        <f t="shared" ref="AG13:AT13" si="7">SUBTOTAL(9,AG8:AG12)</f>
        <v>215</v>
      </c>
      <c r="AH13" s="184">
        <f t="shared" si="7"/>
        <v>347</v>
      </c>
      <c r="AI13" s="184">
        <f t="shared" si="7"/>
        <v>274</v>
      </c>
      <c r="AJ13" s="184">
        <f t="shared" si="7"/>
        <v>288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7074</v>
      </c>
      <c r="AZ13" s="184">
        <f>SUBTOTAL(9,AZ8:AZ12)</f>
        <v>4841</v>
      </c>
      <c r="BA13" s="184">
        <f>SUBTOTAL(9,BA8:BA12)</f>
        <v>4300</v>
      </c>
      <c r="BB13" s="184">
        <f>SUBTOTAL(9,BB8:BB12)</f>
        <v>7615</v>
      </c>
      <c r="BC13" s="184">
        <f>SUBTOTAL(9,BC8:BC12)</f>
        <v>2248</v>
      </c>
      <c r="BD13" s="205">
        <f>IF(ISNUMBER(BA13/AZ13),BA13/AZ13," - ")</f>
        <v>0.88824623011774428</v>
      </c>
      <c r="BE13" s="206">
        <f>IF(ISNUMBER(BB13/BA13),BB13/BA13, " - ")</f>
        <v>1.7709302325581395</v>
      </c>
      <c r="BF13" s="206">
        <f>IF(ISNUMBER(BC13/BA13),BC13/BA13, " - ")</f>
        <v>0.52279069767441866</v>
      </c>
      <c r="BG13" s="207">
        <f>IF(ISNUMBER((AY13+AZ13)/BA13),(AY13+AZ13)/BA13," - ")</f>
        <v>2.7709302325581397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3695</v>
      </c>
      <c r="J15" s="183">
        <v>3961</v>
      </c>
      <c r="K15" s="183">
        <v>3898</v>
      </c>
      <c r="L15" s="183">
        <v>4154</v>
      </c>
      <c r="M15" s="183">
        <v>477</v>
      </c>
      <c r="N15" s="183">
        <v>2304</v>
      </c>
      <c r="O15" s="181">
        <v>113</v>
      </c>
      <c r="P15" s="183">
        <v>129</v>
      </c>
      <c r="Q15" s="183">
        <v>114</v>
      </c>
      <c r="R15" s="183">
        <v>403</v>
      </c>
      <c r="S15" s="183">
        <v>3632</v>
      </c>
      <c r="T15" s="183">
        <v>3463</v>
      </c>
      <c r="U15" s="183">
        <v>3691</v>
      </c>
      <c r="V15" s="183">
        <v>3232</v>
      </c>
      <c r="W15" s="183">
        <v>515</v>
      </c>
      <c r="X15" s="189">
        <v>2328</v>
      </c>
      <c r="Y15" s="202">
        <v>0</v>
      </c>
      <c r="Z15" s="183">
        <v>0</v>
      </c>
      <c r="AA15" s="183">
        <v>0</v>
      </c>
      <c r="AB15" s="183">
        <v>0</v>
      </c>
      <c r="AC15" s="183">
        <v>5</v>
      </c>
      <c r="AD15" s="183">
        <v>47</v>
      </c>
      <c r="AE15" s="183">
        <v>48</v>
      </c>
      <c r="AF15" s="189">
        <v>4</v>
      </c>
      <c r="AG15" s="202">
        <v>0</v>
      </c>
      <c r="AH15" s="183">
        <v>0</v>
      </c>
      <c r="AI15" s="183">
        <v>0</v>
      </c>
      <c r="AJ15" s="203">
        <v>0</v>
      </c>
      <c r="AK15" s="182">
        <v>6</v>
      </c>
      <c r="AL15" s="183">
        <v>102</v>
      </c>
      <c r="AM15" s="183">
        <v>103</v>
      </c>
      <c r="AN15" s="189">
        <v>5</v>
      </c>
      <c r="AO15" s="259">
        <v>4</v>
      </c>
      <c r="AP15" s="155">
        <v>4</v>
      </c>
      <c r="AQ15" s="155">
        <v>4</v>
      </c>
      <c r="AR15" s="155">
        <v>4</v>
      </c>
      <c r="AS15" s="340" t="s">
        <v>518</v>
      </c>
      <c r="AT15" s="203" t="s">
        <v>326</v>
      </c>
      <c r="AU15" s="202"/>
      <c r="AV15" s="203"/>
      <c r="AW15" s="202"/>
      <c r="AX15" s="203"/>
      <c r="AY15" s="128">
        <f t="shared" ref="AY15:BB16" si="9">IF(ISNUMBER(IF(D_I="SI",S15,S15+AK15)),IF(D_I="SI",S15,S15+AK15)," - ")</f>
        <v>3632</v>
      </c>
      <c r="AZ15" s="129">
        <f t="shared" si="9"/>
        <v>3463</v>
      </c>
      <c r="BA15" s="129">
        <f t="shared" si="9"/>
        <v>3691</v>
      </c>
      <c r="BB15" s="129">
        <f t="shared" si="9"/>
        <v>3232</v>
      </c>
      <c r="BC15" s="125">
        <f>IF(ISNUMBER(W15),W15," - ")</f>
        <v>515</v>
      </c>
      <c r="BD15" s="126">
        <f>IF(ISNUMBER(BA15/AZ15),BA15/AZ15," - ")</f>
        <v>1.0658388680334969</v>
      </c>
      <c r="BE15" s="127">
        <f>IF(ISNUMBER(BB15/BA15),BB15/BA15, " - ")</f>
        <v>0.87564345705770796</v>
      </c>
      <c r="BF15" s="127">
        <f>IF(ISNUMBER(BC15/BA15),BC15/BA15, " - ")</f>
        <v>0.1395285830398266</v>
      </c>
      <c r="BG15" s="196">
        <f t="shared" ref="BG15:BG16" si="10">IF(ISNUMBER((AY15+AZ15)/BA15),(AY15+AZ15)/BA15," - ")</f>
        <v>1.9222432945001355</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1</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162</v>
      </c>
      <c r="J17" s="183">
        <v>339</v>
      </c>
      <c r="K17" s="183">
        <v>354</v>
      </c>
      <c r="L17" s="183">
        <v>147</v>
      </c>
      <c r="M17" s="183">
        <v>9</v>
      </c>
      <c r="N17" s="183">
        <v>232</v>
      </c>
      <c r="O17" s="183">
        <v>0</v>
      </c>
      <c r="P17" s="183">
        <v>3</v>
      </c>
      <c r="Q17" s="183">
        <v>1</v>
      </c>
      <c r="R17" s="183">
        <v>8</v>
      </c>
      <c r="S17" s="183">
        <v>133</v>
      </c>
      <c r="T17" s="183">
        <v>253</v>
      </c>
      <c r="U17" s="183">
        <v>254</v>
      </c>
      <c r="V17" s="183">
        <v>132</v>
      </c>
      <c r="W17" s="183">
        <v>7</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133</v>
      </c>
      <c r="AZ17" s="129">
        <f t="shared" si="14"/>
        <v>253</v>
      </c>
      <c r="BA17" s="129">
        <f t="shared" si="14"/>
        <v>254</v>
      </c>
      <c r="BB17" s="129">
        <f t="shared" si="14"/>
        <v>132</v>
      </c>
      <c r="BC17" s="125">
        <f>IF(ISNUMBER(W17),W17," - ")</f>
        <v>7</v>
      </c>
      <c r="BD17" s="126">
        <f>IF(ISNUMBER(BA17/AZ17),BA17/AZ17," - ")</f>
        <v>1.0039525691699605</v>
      </c>
      <c r="BE17" s="127">
        <f>IF(ISNUMBER(BB17/BA17),BB17/BA17, " - ")</f>
        <v>0.51968503937007871</v>
      </c>
      <c r="BF17" s="127">
        <f>IF(ISNUMBER(BC17/BA17),BC17/BA17, " - ")</f>
        <v>2.7559055118110236E-2</v>
      </c>
      <c r="BG17" s="196">
        <f>IF(ISNUMBER((AY17+AZ17)/BA17),(AY17+AZ17)/BA17," - ")</f>
        <v>1.5196850393700787</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3859</v>
      </c>
      <c r="J18" s="184">
        <f t="shared" si="15"/>
        <v>4300</v>
      </c>
      <c r="K18" s="184">
        <f t="shared" si="15"/>
        <v>4252</v>
      </c>
      <c r="L18" s="184">
        <f t="shared" si="15"/>
        <v>4303</v>
      </c>
      <c r="M18" s="184">
        <f t="shared" si="15"/>
        <v>486</v>
      </c>
      <c r="N18" s="184">
        <f t="shared" si="15"/>
        <v>2536</v>
      </c>
      <c r="O18" s="184">
        <f t="shared" si="15"/>
        <v>113</v>
      </c>
      <c r="P18" s="184">
        <f t="shared" si="15"/>
        <v>132</v>
      </c>
      <c r="Q18" s="184">
        <f t="shared" si="15"/>
        <v>115</v>
      </c>
      <c r="R18" s="184">
        <f t="shared" si="15"/>
        <v>412</v>
      </c>
      <c r="S18" s="184">
        <f t="shared" si="15"/>
        <v>3767</v>
      </c>
      <c r="T18" s="184">
        <f t="shared" si="15"/>
        <v>3716</v>
      </c>
      <c r="U18" s="184">
        <f t="shared" si="15"/>
        <v>3945</v>
      </c>
      <c r="V18" s="184">
        <f t="shared" si="15"/>
        <v>3366</v>
      </c>
      <c r="W18" s="184">
        <f t="shared" si="15"/>
        <v>522</v>
      </c>
      <c r="X18" s="184">
        <f t="shared" si="15"/>
        <v>2478</v>
      </c>
      <c r="Y18" s="184">
        <f t="shared" si="15"/>
        <v>0</v>
      </c>
      <c r="Z18" s="184">
        <f t="shared" si="15"/>
        <v>0</v>
      </c>
      <c r="AA18" s="184">
        <f t="shared" si="15"/>
        <v>0</v>
      </c>
      <c r="AB18" s="184">
        <f t="shared" si="15"/>
        <v>0</v>
      </c>
      <c r="AC18" s="184">
        <f t="shared" si="15"/>
        <v>5</v>
      </c>
      <c r="AD18" s="184">
        <f t="shared" si="15"/>
        <v>47</v>
      </c>
      <c r="AE18" s="184">
        <f t="shared" si="15"/>
        <v>48</v>
      </c>
      <c r="AF18" s="184">
        <f t="shared" si="15"/>
        <v>4</v>
      </c>
      <c r="AG18" s="184">
        <f t="shared" si="15"/>
        <v>0</v>
      </c>
      <c r="AH18" s="184">
        <f t="shared" si="15"/>
        <v>0</v>
      </c>
      <c r="AI18" s="184">
        <f t="shared" si="15"/>
        <v>0</v>
      </c>
      <c r="AJ18" s="184">
        <f t="shared" si="15"/>
        <v>0</v>
      </c>
      <c r="AK18" s="184">
        <f t="shared" si="15"/>
        <v>6</v>
      </c>
      <c r="AL18" s="184">
        <f t="shared" si="15"/>
        <v>102</v>
      </c>
      <c r="AM18" s="184">
        <f t="shared" si="15"/>
        <v>103</v>
      </c>
      <c r="AN18" s="184">
        <f t="shared" si="15"/>
        <v>5</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3767</v>
      </c>
      <c r="AZ18" s="184">
        <f>SUBTOTAL(9,AZ14:AZ17)</f>
        <v>3716</v>
      </c>
      <c r="BA18" s="184">
        <f>SUBTOTAL(9,BA14:BA17)</f>
        <v>3945</v>
      </c>
      <c r="BB18" s="184">
        <f>SUBTOTAL(9,BB14:BB17)</f>
        <v>3366</v>
      </c>
      <c r="BC18" s="184">
        <f>SUBTOTAL(9,BC14:BC17)</f>
        <v>522</v>
      </c>
      <c r="BD18" s="205">
        <f>IF(ISNUMBER(BA18/AZ18),BA18/AZ18," - ")</f>
        <v>1.0616254036598494</v>
      </c>
      <c r="BE18" s="206">
        <f>IF(ISNUMBER(BB18/BA18),BB18/BA18, " - ")</f>
        <v>0.85323193916349815</v>
      </c>
      <c r="BF18" s="206">
        <f>IF(ISNUMBER(BC18/BA18),BC18/BA18, " - ")</f>
        <v>0.13231939163498099</v>
      </c>
      <c r="BG18" s="207">
        <f>IF(ISNUMBER((AY18+AZ18)/BA18),(AY18+AZ18)/BA18," - ")</f>
        <v>1.8968314321926489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11643</v>
      </c>
      <c r="J19" s="134">
        <f t="shared" si="18"/>
        <v>10046</v>
      </c>
      <c r="K19" s="134">
        <f t="shared" si="18"/>
        <v>9424</v>
      </c>
      <c r="L19" s="134">
        <f t="shared" si="18"/>
        <v>12758</v>
      </c>
      <c r="M19" s="134">
        <f t="shared" si="18"/>
        <v>2256</v>
      </c>
      <c r="N19" s="134">
        <f t="shared" si="18"/>
        <v>4938</v>
      </c>
      <c r="O19" s="134">
        <f t="shared" si="18"/>
        <v>1670</v>
      </c>
      <c r="P19" s="134">
        <f t="shared" si="18"/>
        <v>1141</v>
      </c>
      <c r="Q19" s="134">
        <f t="shared" si="18"/>
        <v>1272</v>
      </c>
      <c r="R19" s="134">
        <f t="shared" si="18"/>
        <v>9128</v>
      </c>
      <c r="S19" s="134">
        <f t="shared" si="18"/>
        <v>10626</v>
      </c>
      <c r="T19" s="134">
        <f t="shared" si="18"/>
        <v>8210</v>
      </c>
      <c r="U19" s="134">
        <f t="shared" si="18"/>
        <v>7971</v>
      </c>
      <c r="V19" s="134">
        <f t="shared" si="18"/>
        <v>10693</v>
      </c>
      <c r="W19" s="134">
        <f t="shared" si="18"/>
        <v>1833</v>
      </c>
      <c r="X19" s="134">
        <f t="shared" si="18"/>
        <v>4752</v>
      </c>
      <c r="Y19" s="134">
        <f t="shared" si="18"/>
        <v>105</v>
      </c>
      <c r="Z19" s="134">
        <f t="shared" si="18"/>
        <v>305</v>
      </c>
      <c r="AA19" s="134">
        <f t="shared" si="18"/>
        <v>308</v>
      </c>
      <c r="AB19" s="134">
        <f t="shared" si="18"/>
        <v>102</v>
      </c>
      <c r="AC19" s="134">
        <f t="shared" si="18"/>
        <v>5</v>
      </c>
      <c r="AD19" s="134">
        <f t="shared" si="18"/>
        <v>47</v>
      </c>
      <c r="AE19" s="134">
        <f t="shared" si="18"/>
        <v>48</v>
      </c>
      <c r="AF19" s="134">
        <f t="shared" si="18"/>
        <v>4</v>
      </c>
      <c r="AG19" s="134">
        <f t="shared" si="18"/>
        <v>215</v>
      </c>
      <c r="AH19" s="134">
        <f t="shared" si="18"/>
        <v>347</v>
      </c>
      <c r="AI19" s="134">
        <f t="shared" si="18"/>
        <v>274</v>
      </c>
      <c r="AJ19" s="134">
        <f t="shared" si="18"/>
        <v>288</v>
      </c>
      <c r="AK19" s="134">
        <f t="shared" si="18"/>
        <v>6</v>
      </c>
      <c r="AL19" s="134">
        <f t="shared" si="18"/>
        <v>102</v>
      </c>
      <c r="AM19" s="134">
        <f t="shared" si="18"/>
        <v>103</v>
      </c>
      <c r="AN19" s="210">
        <f t="shared" si="18"/>
        <v>5</v>
      </c>
      <c r="AO19" s="211">
        <v>13</v>
      </c>
      <c r="AP19" s="211">
        <v>13</v>
      </c>
      <c r="AQ19" s="211">
        <v>13</v>
      </c>
      <c r="AR19" s="211">
        <v>13</v>
      </c>
      <c r="AS19" s="153">
        <f t="shared" si="18"/>
        <v>0</v>
      </c>
      <c r="AT19" s="153">
        <f t="shared" si="18"/>
        <v>0</v>
      </c>
      <c r="AU19" s="211"/>
      <c r="AV19" s="212"/>
      <c r="AW19" s="211"/>
      <c r="AX19" s="212"/>
      <c r="AY19" s="133">
        <f>SUBTOTAL(9,AY9:AY18)</f>
        <v>10841</v>
      </c>
      <c r="AZ19" s="134">
        <f>SUBTOTAL(9,AZ9:AZ18)</f>
        <v>8557</v>
      </c>
      <c r="BA19" s="134">
        <f>SUBTOTAL(9,BA9:BA18)</f>
        <v>8245</v>
      </c>
      <c r="BB19" s="134">
        <f>SUBTOTAL(9,BB9:BB18)</f>
        <v>10981</v>
      </c>
      <c r="BC19" s="135">
        <f>SUBTOTAL(9,BC9:BC18)</f>
        <v>2770</v>
      </c>
      <c r="BD19" s="213">
        <f>IF(ISNUMBER(BA19/AZ19),BA19/AZ19," - ")</f>
        <v>0.96353862334930462</v>
      </c>
      <c r="BE19" s="210">
        <f>IF(ISNUMBER(BB19/BA19),BB19/BA19, " - ")</f>
        <v>1.3318374772589447</v>
      </c>
      <c r="BF19" s="210">
        <f>IF(ISNUMBER(BC19/BA19),BC19/BA19, " - ")</f>
        <v>0.33596118859915103</v>
      </c>
      <c r="BG19" s="135">
        <f>IF(ISNUMBER((AY19+AZ19)/BA19),(AY19+AZ19)/BA19," - ")</f>
        <v>2.3526986052152821</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syhI+rRi98ov+a/EXFc2+TeDhqWy2KI8IB6+GuepuIPqXZLUckUcaKc9HyxOTC4NNFRxkp0ryCfAYSVlsYDHg==" saltValue="VESr/RdH7TTscMTWPqPGi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c0W6nbtrLCLoHdinbTQ6EJFAn3Vj+KX/u+5GZSxPMC4n5SbLB992yxAsR9+VBzI3s7xY6hQMaQkM0NyPX23lw==" saltValue="eqcxH7yMMteIOgW5E65wf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40</v>
      </c>
      <c r="O9" s="334"/>
      <c r="P9" s="334"/>
      <c r="Q9" s="226">
        <f>IF(ISNUMBER(Datos!P9),Datos!P9,0)</f>
        <v>944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53</v>
      </c>
      <c r="AI9" s="334" t="str">
        <f>IF(ISNUMBER(Datos!CD9),Datos!CD9,"-")</f>
        <v>-</v>
      </c>
      <c r="AJ9" s="334" t="str">
        <f>IF(ISNUMBER(Datos!EN9),Datos!EN9," - ")</f>
        <v xml:space="preserve"> - </v>
      </c>
      <c r="AK9" s="334"/>
      <c r="AL9" s="479"/>
      <c r="AM9" s="335">
        <f>IF(ISNUMBER(Datos!R9),Datos!R9," - ")</f>
        <v>8065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1605</v>
      </c>
      <c r="BD9" s="229">
        <f>IF(ISNUMBER(Datos!N9),Datos!N9," - ")</f>
        <v>2042</v>
      </c>
      <c r="BE9" s="229" t="str">
        <f>IF(ISNUMBER(Datos!BW9),Datos!BW9," - ")</f>
        <v xml:space="preserve"> - </v>
      </c>
      <c r="BF9" s="228" t="str">
        <f>IF(ISNUMBER(Datos!BX9),Datos!BX9," - ")</f>
        <v xml:space="preserve"> - </v>
      </c>
      <c r="BG9" s="243">
        <f>IF(ISNUMBER(IF(J_V="SI",Datos!K9/Datos!J9,(Datos!K9+Datos!AA9)/(Datos!J9+Datos!Z9))),IF(J_V="SI",Datos!K9/Datos!J9,(Datos!K9+Datos!AA9)/(Datos!J9+Datos!Z9))," - ")</f>
        <v>0.8929236499068901</v>
      </c>
      <c r="BH9" s="260">
        <f>IF(ISNUMBER(((IF(J_V="SI",Datos!L9/Datos!K9,(Datos!L9+Datos!AB9)/(Datos!K9+Datos!AA9)))*11)/factor_trimestre),((IF(J_V="SI",Datos!L9/Datos!K9,(Datos!L9+Datos!AB9)/(Datos!K9+Datos!AA9)))*11)/factor_trimestre," - ")</f>
        <v>4.8425443169968725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-1.3696954873425461E-2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77</v>
      </c>
      <c r="G10" s="333">
        <f>IF(ISNUMBER(Datos!I10),Datos!I10," - ")</f>
        <v>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42</v>
      </c>
      <c r="AD10" s="334"/>
      <c r="AE10" s="484"/>
      <c r="AF10" s="332">
        <f>IF(ISNUMBER(Datos!L10),Datos!L10,"-")</f>
        <v>71</v>
      </c>
      <c r="AG10" s="334"/>
      <c r="AH10" s="334"/>
      <c r="AI10" s="334"/>
      <c r="AJ10" s="334"/>
      <c r="AK10" s="334"/>
      <c r="AL10" s="479"/>
      <c r="AM10" s="335">
        <f>IF(ISNUMBER(Datos!R10),Datos!R10," - ")</f>
        <v>95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19</v>
      </c>
      <c r="BE10" s="229" t="str">
        <f>IF(ISNUMBER(Datos!BW10),Datos!BW10," - ")</f>
        <v xml:space="preserve"> - </v>
      </c>
      <c r="BF10" s="228" t="str">
        <f>IF(ISNUMBER(Datos!BX10),Datos!BX10," - ")</f>
        <v xml:space="preserve"> - </v>
      </c>
      <c r="BG10" s="243">
        <f>IF(ISNUMBER(Datos!K10/Datos!J10),Datos!K10/Datos!J10," - ")</f>
        <v>1.1818181818181819</v>
      </c>
      <c r="BH10" s="260">
        <f>IF(ISNUMBER(((Datos!L10/Datos!K10)*11)/factor_trimestre),((Datos!L10/Datos!K10)*11)/factor_trimestre," - ")</f>
        <v>5.4615384615384617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-0.23387096774193547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265</v>
      </c>
      <c r="O11" s="334"/>
      <c r="P11" s="334"/>
      <c r="Q11" s="226">
        <f>IF(ISNUMBER(Datos!P11),Datos!P11,0)</f>
        <v>52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59</v>
      </c>
      <c r="AD11" s="334"/>
      <c r="AE11" s="484"/>
      <c r="AF11" s="332" t="str">
        <f>IF(ISNUMBER(IF(J_V="SI",Datos!L11,Datos!L11+Datos!AB11)-IF(Monitorios="SI",Datos!CD11,0)),
                          IF(J_V="SI",Datos!L11,Datos!L11+Datos!AB11)-IF(Monitorios="SI",Datos!CD11,0),
                          " - ")</f>
        <v xml:space="preserve"> - </v>
      </c>
      <c r="AG11" s="334"/>
      <c r="AH11" s="334">
        <f>IF(ISNUMBER(Datos!AB11),Datos!AB11,"-")</f>
        <v>49</v>
      </c>
      <c r="AI11" s="334"/>
      <c r="AJ11" s="334"/>
      <c r="AK11" s="334"/>
      <c r="AL11" s="479"/>
      <c r="AM11" s="335">
        <f>IF(ISNUMBER(Datos!R11),Datos!R11," - ")</f>
        <v>556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150</v>
      </c>
      <c r="BD11" s="229">
        <f>IF(ISNUMBER(Datos!N11),Datos!N11," - ")</f>
        <v>341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0.99691358024691357</v>
      </c>
      <c r="BH11" s="260">
        <f>IF(ISNUMBER(((IF(J_V="SI",Datos!L11/Datos!K11,(Datos!L11+Datos!AB11)/(Datos!K11+Datos!AA11)))*11)/factor_trimestre),((IF(J_V="SI",Datos!L11/Datos!K11,(Datos!L11+Datos!AB11)/(Datos!K11+Datos!AA11)))*11)/factor_trimestre," - ")</f>
        <v>3.4643962848297214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-1.2433392539964476E-2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77</v>
      </c>
      <c r="G13" s="898">
        <f t="shared" si="0"/>
        <v>77</v>
      </c>
      <c r="H13" s="899">
        <f t="shared" si="0"/>
        <v>0</v>
      </c>
      <c r="I13" s="898">
        <f t="shared" si="0"/>
        <v>0</v>
      </c>
      <c r="J13" s="867">
        <f t="shared" si="0"/>
        <v>0</v>
      </c>
      <c r="K13" s="867">
        <f t="shared" si="0"/>
        <v>0</v>
      </c>
      <c r="L13" s="899">
        <f t="shared" si="0"/>
        <v>0</v>
      </c>
      <c r="M13" s="899">
        <f t="shared" si="0"/>
        <v>0</v>
      </c>
      <c r="N13" s="899">
        <f t="shared" si="0"/>
        <v>305</v>
      </c>
      <c r="O13" s="900">
        <f t="shared" si="0"/>
        <v>0</v>
      </c>
      <c r="P13" s="900">
        <f t="shared" si="0"/>
        <v>0</v>
      </c>
      <c r="Q13" s="899">
        <f t="shared" si="0"/>
        <v>1009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1157</v>
      </c>
      <c r="AD13" s="899">
        <f t="shared" si="1"/>
        <v>0</v>
      </c>
      <c r="AE13" s="899">
        <f t="shared" si="1"/>
        <v>0</v>
      </c>
      <c r="AF13" s="899">
        <f t="shared" si="1"/>
        <v>71</v>
      </c>
      <c r="AG13" s="899">
        <f t="shared" si="1"/>
        <v>0</v>
      </c>
      <c r="AH13" s="899">
        <f t="shared" si="1"/>
        <v>102</v>
      </c>
      <c r="AI13" s="899">
        <f t="shared" si="1"/>
        <v>0</v>
      </c>
      <c r="AJ13" s="899">
        <f t="shared" si="1"/>
        <v>0</v>
      </c>
      <c r="AK13" s="899">
        <f t="shared" si="1"/>
        <v>0</v>
      </c>
      <c r="AL13" s="899">
        <f t="shared" si="1"/>
        <v>0</v>
      </c>
      <c r="AM13" s="899">
        <f t="shared" si="1"/>
        <v>8716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1770</v>
      </c>
      <c r="BD13" s="899">
        <f t="shared" si="1"/>
        <v>2402</v>
      </c>
      <c r="BE13" s="899">
        <f t="shared" si="1"/>
        <v>0</v>
      </c>
      <c r="BF13" s="899">
        <f t="shared" si="1"/>
        <v>0</v>
      </c>
      <c r="BG13" s="899">
        <f>IF(ISNUMBER(Datos!K13/Datos!J13),Datos!K13/Datos!J13," - ")</f>
        <v>0.90010442046641137</v>
      </c>
      <c r="BH13" s="903">
        <f>IF(ISNUMBER(((Datos!L13/Datos!K13)*11)/factor_trimestre),((Datos!L13/Datos!K13)*11)/factor_trimestre," - ")</f>
        <v>4.9042923433874712</v>
      </c>
      <c r="BI13" s="899">
        <f>IF(ISNUMBER('Resol  Asuntos'!D13/NºAsuntos!G13),'Resol  Asuntos'!D13/NºAsuntos!G13," - ")</f>
        <v>0.32299270072992703</v>
      </c>
      <c r="BJ13" s="899" t="str">
        <f>IF(ISNUMBER(Datos!CI13/Datos!CJ13),Datos!CI13/Datos!CJ13," - ")</f>
        <v xml:space="preserve"> - </v>
      </c>
      <c r="BK13" s="899">
        <f>SUBTOTAL(9,BK8:BK12)</f>
        <v>0</v>
      </c>
      <c r="BL13" s="899">
        <f>IF(ISNUMBER((I13-AB13+L13)/(F13)),(I13-AB13+L13)/(F13)," - ")</f>
        <v>-0.50649350649350644</v>
      </c>
      <c r="BM13" s="904">
        <f>SUBTOTAL(9,BM9:BM12)</f>
        <v>-0.26000131515532537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4091</v>
      </c>
      <c r="G15" s="598">
        <f>IF(ISNUMBER(IF(D_I="SI",Datos!I15,Datos!I15+Datos!AC15)),IF(D_I="SI",Datos!I15,Datos!I15+Datos!AC15)," - ")</f>
        <v>3695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3898</v>
      </c>
      <c r="AC15" s="226">
        <f>IF(ISNUMBER(Datos!Q15),Datos!Q15," - ")</f>
        <v>114</v>
      </c>
      <c r="AD15" s="334"/>
      <c r="AE15" s="484"/>
      <c r="AF15" s="596">
        <f>IF(ISNUMBER(IF(D_I="SI",Datos!L15,Datos!L15+Datos!AF15)),IF(D_I="SI",Datos!L15,Datos!L15+Datos!AF15)," - ")</f>
        <v>4154</v>
      </c>
      <c r="AG15" s="334"/>
      <c r="AH15" s="334"/>
      <c r="AI15" s="334"/>
      <c r="AJ15" s="334"/>
      <c r="AK15" s="334"/>
      <c r="AL15" s="479"/>
      <c r="AM15" s="335">
        <f>IF(ISNUMBER(Datos!R15),Datos!R15," - ")</f>
        <v>403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477</v>
      </c>
      <c r="BD15" s="229">
        <f>IF(ISNUMBER(Datos!N15),Datos!N15," - ")</f>
        <v>2304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0.98409492552385758</v>
      </c>
      <c r="BH15" s="260">
        <f>IF(ISNUMBER(((IF(D_I="SI",Datos!L15/Datos!K15,(Datos!L15+Datos!AF15)/(Datos!K15+Datos!AE15)))*11)/factor_trimestre),((IF(D_I="SI",Datos!L15/Datos!K15,(Datos!L15+Datos!AF15)/(Datos!K15+Datos!AE15)))*11)/factor_trimestre," - ")</f>
        <v>3.1970241149307341</v>
      </c>
      <c r="BI15" s="243">
        <f>IF(ISNUMBER('Resol  Asuntos'!D15/NºAsuntos!G15),'Resol  Asuntos'!D15/NºAsuntos!G15," - ")</f>
        <v>0.12237044638276039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354</v>
      </c>
      <c r="AC17" s="226">
        <f>IF(ISNUMBER(Datos!Q17),Datos!Q17," - ")</f>
        <v>1</v>
      </c>
      <c r="AD17" s="334"/>
      <c r="AE17" s="484"/>
      <c r="AF17" s="332">
        <f>IF(ISNUMBER(Datos!L17),Datos!L17,"-")</f>
        <v>147</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1.0442477876106195</v>
      </c>
      <c r="BH17" s="260">
        <f>IF(ISNUMBER(((IF(D_I="SI",Datos!L17/Datos!K17,(Datos!L17+Datos!AF17)/(Datos!K17+Datos!AE17)))*11)/factor_trimestre),((IF(D_I="SI",Datos!L17/Datos!K17,(Datos!L17+Datos!AF17)/(Datos!K17+Datos!AE17)))*11)/factor_trimestre," - ")</f>
        <v>1.2457627118644068</v>
      </c>
      <c r="BI17" s="243">
        <f>IF(ISNUMBER('Resol  Asuntos'!D17/NºAsuntos!G17),'Resol  Asuntos'!D17/NºAsuntos!G17," - ")</f>
        <v>2.5423728813559324E-2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4093</v>
      </c>
      <c r="G18" s="898">
        <f>SUBTOTAL(9,G15:G17)</f>
        <v>3859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4252</v>
      </c>
      <c r="AC18" s="899">
        <f t="shared" si="4"/>
        <v>115</v>
      </c>
      <c r="AD18" s="899">
        <f t="shared" si="4"/>
        <v>0</v>
      </c>
      <c r="AE18" s="899">
        <f t="shared" si="4"/>
        <v>0</v>
      </c>
      <c r="AF18" s="899">
        <f t="shared" si="4"/>
        <v>4303</v>
      </c>
      <c r="AG18" s="899">
        <f t="shared" si="4"/>
        <v>0</v>
      </c>
      <c r="AH18" s="899">
        <f t="shared" si="4"/>
        <v>0</v>
      </c>
      <c r="AI18" s="899">
        <f t="shared" si="4"/>
        <v>0</v>
      </c>
      <c r="AJ18" s="899">
        <f t="shared" si="4"/>
        <v>0</v>
      </c>
      <c r="AK18" s="899">
        <f t="shared" si="4"/>
        <v>0</v>
      </c>
      <c r="AL18" s="899">
        <f t="shared" si="4"/>
        <v>0</v>
      </c>
      <c r="AM18" s="899">
        <f t="shared" si="4"/>
        <v>412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486</v>
      </c>
      <c r="BD18" s="899">
        <f t="shared" si="4"/>
        <v>2536</v>
      </c>
      <c r="BE18" s="899">
        <f t="shared" si="4"/>
        <v>0</v>
      </c>
      <c r="BF18" s="899">
        <f t="shared" si="4"/>
        <v>0</v>
      </c>
      <c r="BG18" s="899">
        <f>IF(ISNUMBER(Datos!K18/Datos!J18),Datos!K18/Datos!J18," - ")</f>
        <v>0.98883720930232555</v>
      </c>
      <c r="BH18" s="903">
        <f>IF(ISNUMBER(((Datos!L18/Datos!K18)*11)/factor_trimestre),((Datos!L18/Datos!K18)*11)/factor_trimestre," - ")</f>
        <v>3.0359830667920975</v>
      </c>
      <c r="BI18" s="899">
        <f>SUBTOTAL(9,BI15:BI17)</f>
        <v>0.14779417519631971</v>
      </c>
      <c r="BJ18" s="899">
        <f>SUBTOTAL(9,BJ15:BJ17)</f>
        <v>0</v>
      </c>
      <c r="BK18" s="899">
        <f>SUBTOTAL(9,BK15:BK17)</f>
        <v>0</v>
      </c>
      <c r="BL18" s="899">
        <f>IF(ISNUMBER((I18-AB18+L18)/(F18)),(I18-AB18+L18)/(F18)," - ")</f>
        <v>-1.0388468116296115</v>
      </c>
      <c r="BM18" s="905">
        <f>IF(ISNUMBER((Datos!P18-Datos!Q18)/(Datos!R18-Datos!P18+Datos!Q18)),(Datos!P18-Datos!Q18)/(Datos!R18-Datos!P18+Datos!Q18)," - ")</f>
        <v>4.3037974683544304E-2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4170</v>
      </c>
      <c r="G19" s="820">
        <f t="shared" si="6"/>
        <v>3936</v>
      </c>
      <c r="H19" s="822">
        <f t="shared" si="6"/>
        <v>0</v>
      </c>
      <c r="I19" s="820">
        <f t="shared" si="6"/>
        <v>0</v>
      </c>
      <c r="J19" s="822">
        <f t="shared" si="6"/>
        <v>0</v>
      </c>
      <c r="K19" s="822">
        <f t="shared" si="6"/>
        <v>0</v>
      </c>
      <c r="L19" s="881">
        <f t="shared" si="6"/>
        <v>0</v>
      </c>
      <c r="M19" s="881">
        <f t="shared" si="6"/>
        <v>0</v>
      </c>
      <c r="N19" s="881">
        <f t="shared" si="6"/>
        <v>305</v>
      </c>
      <c r="O19" s="881">
        <f t="shared" si="6"/>
        <v>0</v>
      </c>
      <c r="P19" s="881">
        <f t="shared" si="6"/>
        <v>0</v>
      </c>
      <c r="Q19" s="822">
        <f t="shared" si="6"/>
        <v>1141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4291</v>
      </c>
      <c r="AC19" s="821">
        <f t="shared" si="7"/>
        <v>1272</v>
      </c>
      <c r="AD19" s="821">
        <f t="shared" si="7"/>
        <v>0</v>
      </c>
      <c r="AE19" s="821">
        <f t="shared" si="7"/>
        <v>0</v>
      </c>
      <c r="AF19" s="828">
        <f t="shared" si="7"/>
        <v>4374</v>
      </c>
      <c r="AG19" s="828">
        <f t="shared" si="7"/>
        <v>0</v>
      </c>
      <c r="AH19" s="828">
        <f t="shared" si="7"/>
        <v>102</v>
      </c>
      <c r="AI19" s="828">
        <f t="shared" si="7"/>
        <v>0</v>
      </c>
      <c r="AJ19" s="821">
        <f t="shared" si="7"/>
        <v>0</v>
      </c>
      <c r="AK19" s="828">
        <f t="shared" si="7"/>
        <v>0</v>
      </c>
      <c r="AL19" s="828">
        <f t="shared" si="7"/>
        <v>0</v>
      </c>
      <c r="AM19" s="828">
        <f t="shared" si="7"/>
        <v>9128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2256</v>
      </c>
      <c r="BD19" s="820">
        <f t="shared" si="7"/>
        <v>4938</v>
      </c>
      <c r="BE19" s="820">
        <f t="shared" si="7"/>
        <v>0</v>
      </c>
      <c r="BF19" s="830">
        <f t="shared" si="7"/>
        <v>0</v>
      </c>
      <c r="BG19" s="915">
        <f>IF(ISNUMBER(Datos!K19/Datos!J19),Datos!K19/Datos!J19," - ")</f>
        <v>0.93808480987457699</v>
      </c>
      <c r="BH19" s="915">
        <f>IF(ISNUMBER(((Datos!L19/Datos!K19)*11)/factor_trimestre),((Datos!L19/Datos!K19)*11)/factor_trimestre," - ")</f>
        <v>4.0613327674023774</v>
      </c>
      <c r="BI19" s="813">
        <f>IF(ISNUMBER(Datos!J19/Datos!I19),Datos!J19/Datos!I19," - ")</f>
        <v>0.86283603882160953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-1.0290167865707434</v>
      </c>
      <c r="BM19" s="889">
        <f>IF(ISNUMBER((Datos!P19-Datos!Q19+R19)/(Datos!R19-Datos!P19+Datos!Q19-R19)),(Datos!P19-Datos!Q19+R19)/(Datos!R19-Datos!P19+Datos!Q19-R19)," - ")</f>
        <v>-1.4148396155092342E-2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3.1001792062897122</v>
      </c>
      <c r="F21" s="551">
        <f>IF(ISNUMBER(STDEV(F8:F18)),STDEV(F8:F18),"-")</f>
        <v>2213.011070916727</v>
      </c>
      <c r="G21" s="552">
        <f>IF(ISNUMBER(STDEV(G8:G18)),STDEV(G8:G18),"-")</f>
        <v>1910.7562900589912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2055.5848478393364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722.16816403304369</v>
      </c>
      <c r="BD21" s="551"/>
      <c r="BE21" s="551">
        <f>IF(ISNUMBER(STDEV(BE8:BE18)),STDEV(BE8:BE18),"-")</f>
        <v>0</v>
      </c>
      <c r="BF21" s="556">
        <f>IF(ISNUMBER(STDEV(BF8:BF18)),STDEV(BF8:BF18),"-")</f>
        <v>0</v>
      </c>
      <c r="BG21" s="775">
        <f>IF(ISNUMBER(STDEV(BG8:BG18)),STDEV(BG8:BG18),"-")</f>
        <v>9.7322333177144491E-2</v>
      </c>
      <c r="BH21" s="776">
        <f>IF(ISNUMBER(STDEV(BH8:BH18)),STDEV(BH8:BH18),"-")</f>
        <v>1.4504251858257315</v>
      </c>
      <c r="BI21" s="249">
        <f>IF(ISNUMBER(STDEV(BI8:BI18)),STDEV(BI8:BI18),"-")</f>
        <v>0.12399955091249228</v>
      </c>
      <c r="BJ21" s="230" t="str">
        <f>IF(ISNUMBER(BL21/BM21),BL21/BM21," - ")</f>
        <v xml:space="preserve"> - </v>
      </c>
      <c r="BK21" s="575"/>
      <c r="BL21" s="559">
        <f>IF(ISNUMBER(STDEV(BL8:BL18)),STDEV(BL8:BL18),"-")</f>
        <v>0.37643063204881116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cYI9G/1ObkaTUDVl6i7m189Fs35tEzgOTDDkvnI3iuDrl/K1XvECsQfXDcr3RVNrdQCV6j7koZukKcF1jOMEQ==" saltValue="NwtNRTXHYFQSGd0i148Vj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GIRONA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944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1056</v>
      </c>
      <c r="AA9" s="332" t="str">
        <f>IF(ISNUMBER(IF(J_V="SI",Datos!L9,Datos!L9+Datos!AB9)-IF(Monitorios="SI",Datos!CD9,0)),
                          IF(J_V="SI",Datos!L9,Datos!L9+Datos!AB9)-IF(Monitorios="SI",Datos!CD9,0),
                          " - ")</f>
        <v xml:space="preserve"> - </v>
      </c>
      <c r="AB9" s="334"/>
      <c r="AC9" s="334"/>
      <c r="AD9" s="484"/>
      <c r="AE9" s="484">
        <f>IF(ISNUMBER(Datos!R9),Datos!R9," - ")</f>
        <v>8065</v>
      </c>
      <c r="AF9" s="229" t="str">
        <f>IF(ISNUMBER(Datos!BV9),Datos!BV9," - ")</f>
        <v xml:space="preserve"> - </v>
      </c>
      <c r="AG9" s="225" t="str">
        <f>IF(ISNUMBER(Datos!DV9),Datos!DV9," - ")</f>
        <v xml:space="preserve"> - </v>
      </c>
      <c r="AH9" s="298"/>
      <c r="AI9" s="227"/>
      <c r="AJ9" s="225">
        <f>IF(ISNUMBER(Datos!M9),Datos!M9," - ")</f>
        <v>1605</v>
      </c>
      <c r="AK9" s="229">
        <f>IF(ISNUMBER(Datos!N9),Datos!N9," - ")</f>
        <v>2042</v>
      </c>
      <c r="AL9" s="229" t="str">
        <f>IF(ISNUMBER(Datos!BW9),Datos!BW9," - ")</f>
        <v xml:space="preserve"> - </v>
      </c>
      <c r="AM9" s="228" t="str">
        <f>IF(ISNUMBER(Datos!BX9),Datos!BX9," - ")</f>
        <v xml:space="preserve"> - </v>
      </c>
      <c r="AN9" s="243"/>
      <c r="AO9" s="260">
        <f>IF(ISNUMBER(((NºAsuntos!I9/NºAsuntos!G9)*11)/factor_trimestre),((NºAsuntos!I9/NºAsuntos!G9)*11)/factor_trimestre," - ")</f>
        <v>4.8425443169968725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-1.3696954873425461E-2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77</v>
      </c>
      <c r="G10" s="225">
        <f>IF(ISNUMBER(Datos!I10),Datos!I10," - ")</f>
        <v>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42</v>
      </c>
      <c r="AA10" s="332">
        <f>IF(ISNUMBER(Datos!L10),Datos!L10,"-")</f>
        <v>71</v>
      </c>
      <c r="AB10" s="334"/>
      <c r="AC10" s="334"/>
      <c r="AD10" s="484"/>
      <c r="AE10" s="484">
        <f>IF(ISNUMBER(Datos!R10),Datos!R10," - ")</f>
        <v>95</v>
      </c>
      <c r="AF10" s="229" t="str">
        <f>IF(ISNUMBER(Datos!BV10),Datos!BV10," - ")</f>
        <v xml:space="preserve"> - </v>
      </c>
      <c r="AG10" s="225" t="str">
        <f>IF(ISNUMBER(Datos!DV10),Datos!DV10," - ")</f>
        <v xml:space="preserve"> - </v>
      </c>
      <c r="AH10" s="298"/>
      <c r="AI10" s="227"/>
      <c r="AJ10" s="225">
        <f>IF(ISNUMBER(Datos!M10),Datos!M10," - ")</f>
        <v>15</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5.4615384615384617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-0.23387096774193547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59</v>
      </c>
      <c r="AA11" s="332" t="str">
        <f>IF(ISNUMBER(IF(J_V="SI",Datos!L11,Datos!L11+Datos!AB11)-IF(Monitorios="SI",Datos!CD11,0)),
                          IF(J_V="SI",Datos!L11,Datos!L11+Datos!AB11)-IF(Monitorios="SI",Datos!CD11,0),
                          " - ")</f>
        <v xml:space="preserve"> - </v>
      </c>
      <c r="AB11" s="334"/>
      <c r="AC11" s="334"/>
      <c r="AD11" s="484"/>
      <c r="AE11" s="484">
        <f>IF(ISNUMBER(Datos!R11),Datos!R11," - ")</f>
        <v>556</v>
      </c>
      <c r="AF11" s="229" t="str">
        <f>IF(ISNUMBER(Datos!BV11),Datos!BV11," - ")</f>
        <v xml:space="preserve"> - </v>
      </c>
      <c r="AG11" s="225" t="str">
        <f>IF(ISNUMBER(Datos!DV11),Datos!DV11," - ")</f>
        <v xml:space="preserve"> - </v>
      </c>
      <c r="AH11" s="298"/>
      <c r="AI11" s="227"/>
      <c r="AJ11" s="225">
        <f>IF(ISNUMBER(Datos!M11),Datos!M11," - ")</f>
        <v>150</v>
      </c>
      <c r="AK11" s="229">
        <f>IF(ISNUMBER(Datos!N11),Datos!N11," - ")</f>
        <v>341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3.4643962848297214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-1.2433392539964476E-2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77</v>
      </c>
      <c r="G13" s="898">
        <f>SUBTOTAL(9,G8:G12)</f>
        <v>77</v>
      </c>
      <c r="H13" s="908"/>
      <c r="I13" s="898">
        <f t="shared" ref="I13:N13" si="0">SUBTOTAL(9,I8:I12)</f>
        <v>0</v>
      </c>
      <c r="J13" s="867">
        <f t="shared" si="0"/>
        <v>0</v>
      </c>
      <c r="K13" s="908">
        <f t="shared" si="0"/>
        <v>0</v>
      </c>
      <c r="L13" s="908">
        <f t="shared" si="0"/>
        <v>0</v>
      </c>
      <c r="M13" s="908">
        <f t="shared" si="0"/>
        <v>0</v>
      </c>
      <c r="N13" s="908">
        <f t="shared" si="0"/>
        <v>1009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1157</v>
      </c>
      <c r="AA13" s="900">
        <f t="shared" si="2"/>
        <v>71</v>
      </c>
      <c r="AB13" s="900">
        <f t="shared" si="2"/>
        <v>0</v>
      </c>
      <c r="AC13" s="900">
        <f t="shared" si="2"/>
        <v>0</v>
      </c>
      <c r="AD13" s="900">
        <f t="shared" si="2"/>
        <v>0</v>
      </c>
      <c r="AE13" s="900">
        <f t="shared" si="2"/>
        <v>8716</v>
      </c>
      <c r="AF13" s="908">
        <f t="shared" si="2"/>
        <v>0</v>
      </c>
      <c r="AG13" s="908">
        <f t="shared" si="2"/>
        <v>0</v>
      </c>
      <c r="AH13" s="908">
        <f t="shared" si="2"/>
        <v>0</v>
      </c>
      <c r="AI13" s="908">
        <f t="shared" si="2"/>
        <v>0</v>
      </c>
      <c r="AJ13" s="908">
        <f t="shared" si="2"/>
        <v>1770</v>
      </c>
      <c r="AK13" s="908">
        <f t="shared" si="2"/>
        <v>2402</v>
      </c>
      <c r="AL13" s="908">
        <f t="shared" si="2"/>
        <v>0</v>
      </c>
      <c r="AM13" s="908">
        <f t="shared" si="2"/>
        <v>0</v>
      </c>
      <c r="AN13" s="908">
        <f t="shared" si="2"/>
        <v>0</v>
      </c>
      <c r="AO13" s="904">
        <f>IF(ISNUMBER(((NºAsuntos!I13/NºAsuntos!G13)*11)/factor_trimestre),((NºAsuntos!I13/NºAsuntos!G13)*11)/factor_trimestre," - ")</f>
        <v>4.6844890510948911</v>
      </c>
      <c r="AP13" s="910" t="str">
        <f>IF(ISNUMBER(Datos!CI13/Datos!CJ13),Datos!CI13/Datos!CJ13," - ")</f>
        <v xml:space="preserve"> - </v>
      </c>
      <c r="AQ13" s="928">
        <f t="shared" ref="AQ13:AV13" si="3">SUBTOTAL(9,AQ9:AQ12)</f>
        <v>0</v>
      </c>
      <c r="AR13" s="928">
        <f t="shared" si="3"/>
        <v>-0.26000131515532537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4091</v>
      </c>
      <c r="G15" s="225">
        <f>IF(ISNUMBER(IF(D_I="SI",Datos!I15,Datos!I15+Datos!AC15)),IF(D_I="SI",Datos!I15,Datos!I15+Datos!AC15)," - ")</f>
        <v>3695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3898</v>
      </c>
      <c r="Z15" s="619">
        <f>IF(ISNUMBER(Datos!Q15),Datos!Q15," - ")</f>
        <v>114</v>
      </c>
      <c r="AA15" s="332">
        <f>IF(ISNUMBER(IF(D_I="SI",Datos!L15,Datos!L15+Datos!AF15)),IF(D_I="SI",Datos!L15,Datos!L15+Datos!AF15)," - ")</f>
        <v>4154</v>
      </c>
      <c r="AB15" s="334"/>
      <c r="AC15" s="334"/>
      <c r="AD15" s="484"/>
      <c r="AE15" s="484">
        <f>IF(ISNUMBER(Datos!R15),Datos!R15," - ")</f>
        <v>403</v>
      </c>
      <c r="AF15" s="229" t="str">
        <f>IF(ISNUMBER(Datos!BV15),Datos!BV15," - ")</f>
        <v xml:space="preserve"> - </v>
      </c>
      <c r="AG15" s="225"/>
      <c r="AH15" s="298"/>
      <c r="AI15" s="227"/>
      <c r="AJ15" s="225">
        <f>IF(ISNUMBER(Datos!M15),Datos!M15," - ")</f>
        <v>477</v>
      </c>
      <c r="AK15" s="229">
        <f>IF(ISNUMBER(Datos!N15),Datos!N15," - ")</f>
        <v>2304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3.1970241149307341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354</v>
      </c>
      <c r="Z17" s="619">
        <f>IF(ISNUMBER(Datos!Q17),Datos!Q17," - ")</f>
        <v>1</v>
      </c>
      <c r="AA17" s="332">
        <f>IF(ISNUMBER(Datos!L17),Datos!L17,"-")</f>
        <v>147</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9</v>
      </c>
      <c r="AK17" s="229">
        <f>IF(ISNUMBER(Datos!N17),Datos!N17," - ")</f>
        <v>232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1.2457627118644068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4093</v>
      </c>
      <c r="G18" s="898">
        <f>SUBTOTAL(9,G15:G17)</f>
        <v>3859</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4252</v>
      </c>
      <c r="Z18" s="932">
        <f t="shared" si="5"/>
        <v>115</v>
      </c>
      <c r="AA18" s="932">
        <f t="shared" si="5"/>
        <v>4303</v>
      </c>
      <c r="AB18" s="932">
        <f t="shared" si="5"/>
        <v>0</v>
      </c>
      <c r="AC18" s="932">
        <f t="shared" si="5"/>
        <v>0</v>
      </c>
      <c r="AD18" s="932">
        <f t="shared" si="5"/>
        <v>0</v>
      </c>
      <c r="AE18" s="932">
        <f t="shared" si="5"/>
        <v>412</v>
      </c>
      <c r="AF18" s="932">
        <f t="shared" si="5"/>
        <v>0</v>
      </c>
      <c r="AG18" s="932">
        <f t="shared" si="5"/>
        <v>0</v>
      </c>
      <c r="AH18" s="932">
        <f t="shared" si="5"/>
        <v>0</v>
      </c>
      <c r="AI18" s="932">
        <f t="shared" si="5"/>
        <v>0</v>
      </c>
      <c r="AJ18" s="932">
        <f t="shared" si="5"/>
        <v>486</v>
      </c>
      <c r="AK18" s="932">
        <f t="shared" si="5"/>
        <v>2536</v>
      </c>
      <c r="AL18" s="932">
        <f t="shared" si="5"/>
        <v>0</v>
      </c>
      <c r="AM18" s="932">
        <f t="shared" si="5"/>
        <v>0</v>
      </c>
      <c r="AN18" s="932">
        <f t="shared" si="5"/>
        <v>0</v>
      </c>
      <c r="AO18" s="934">
        <f>IF(ISNUMBER(((NºAsuntos!I18/NºAsuntos!G18)*11)/factor_trimestre),((NºAsuntos!I18/NºAsuntos!G18)*11)/factor_trimestre," - ")</f>
        <v>3.0359830667920975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4170</v>
      </c>
      <c r="G19" s="820">
        <f t="shared" si="7"/>
        <v>3936</v>
      </c>
      <c r="H19" s="821">
        <f t="shared" si="7"/>
        <v>0</v>
      </c>
      <c r="I19" s="820">
        <f t="shared" si="7"/>
        <v>0</v>
      </c>
      <c r="J19" s="822">
        <f t="shared" si="7"/>
        <v>0</v>
      </c>
      <c r="K19" s="820">
        <f t="shared" si="7"/>
        <v>0</v>
      </c>
      <c r="L19" s="823">
        <f t="shared" si="7"/>
        <v>0</v>
      </c>
      <c r="M19" s="820">
        <f t="shared" si="7"/>
        <v>0</v>
      </c>
      <c r="N19" s="821">
        <f t="shared" si="7"/>
        <v>1141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4291</v>
      </c>
      <c r="Z19" s="827">
        <f t="shared" si="8"/>
        <v>1272</v>
      </c>
      <c r="AA19" s="828">
        <f t="shared" si="8"/>
        <v>4374</v>
      </c>
      <c r="AB19" s="828">
        <f t="shared" si="8"/>
        <v>0</v>
      </c>
      <c r="AC19" s="828">
        <f t="shared" si="8"/>
        <v>0</v>
      </c>
      <c r="AD19" s="829">
        <f t="shared" si="8"/>
        <v>0</v>
      </c>
      <c r="AE19" s="829">
        <f t="shared" si="8"/>
        <v>9128</v>
      </c>
      <c r="AF19" s="830">
        <f t="shared" si="8"/>
        <v>0</v>
      </c>
      <c r="AG19" s="831">
        <f t="shared" si="8"/>
        <v>0</v>
      </c>
      <c r="AH19" s="832">
        <f t="shared" si="8"/>
        <v>0</v>
      </c>
      <c r="AI19" s="830">
        <f t="shared" si="8"/>
        <v>0</v>
      </c>
      <c r="AJ19" s="820">
        <f t="shared" si="8"/>
        <v>2256</v>
      </c>
      <c r="AK19" s="820">
        <f t="shared" si="8"/>
        <v>4938</v>
      </c>
      <c r="AL19" s="820">
        <f t="shared" si="8"/>
        <v>0</v>
      </c>
      <c r="AM19" s="833">
        <f t="shared" si="8"/>
        <v>0</v>
      </c>
      <c r="AN19" s="823">
        <f>IF(ISNUMBER(Datos!K19/Datos!J19),Datos!K19/Datos!J19," - ")</f>
        <v>0.93808480987457699</v>
      </c>
      <c r="AO19" s="823">
        <f>IF(ISNUMBER(FIND("06",Criterios!A8,1)),(IF(ISNUMBER(((Datos!R19/Datos!Q19)*11)/factor_trimestre),((Datos!R19/Datos!Q19)*11)/factor_trimestre," - ")),(IF(ISNUMBER(((Datos!L19/Datos!K19)*11)/factor_trimestre),((Datos!L19/Datos!K19)*11)/factor_trimestre," - ")))</f>
        <v>4.0613327674023774</v>
      </c>
      <c r="AP19" s="834" t="str">
        <f>IF(ISNUMBER(Datos!CI19/Datos!CJ19),Datos!CI19/Datos!CJ19," - ")</f>
        <v xml:space="preserve"> - </v>
      </c>
      <c r="AQ19" s="834">
        <f>IF(OR(ISNUMBER(FIND("01",Criterios!A8,1)),ISNUMBER(FIND("02",Criterios!A8,1)),ISNUMBER(FIND("03",Criterios!A8,1)),ISNUMBER(FIND("04",Criterios!A8,1))),(J19-Y19+K19)/(F19-K19),(I19-Y19+K19)/(F19-K19))</f>
        <v>-1.0290167865707434</v>
      </c>
      <c r="AR19" s="834">
        <f>IF(ISNUMBER((Datos!P19-Datos!Q19+O19)/(Datos!R19-Datos!P19+Datos!Q19-O19)),(Datos!P19-Datos!Q19+O19)/(Datos!R19-Datos!P19+Datos!Q19-O19)," - ")</f>
        <v>-1.4148396155092342E-2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2213.011070916727</v>
      </c>
      <c r="G21" s="552">
        <f>IF(ISNUMBER(STDEV(G8:G18)),STDEV(G8:G18),"-")</f>
        <v>1910.7562900589912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722.16816403304369</v>
      </c>
      <c r="AK21" s="252"/>
      <c r="AL21" s="252">
        <f>IF(ISNUMBER(STDEV(AL8:AL18)),STDEV(AL8:AL18),"-")</f>
        <v>0</v>
      </c>
      <c r="AM21" s="254">
        <f>IF(ISNUMBER(STDEV(AM8:AM18)),STDEV(AM8:AM18),"-")</f>
        <v>0</v>
      </c>
      <c r="AN21" s="539">
        <f>IF(ISNUMBER(STDEV(AN8:AN18)),STDEV(AN8:AN18),"-")</f>
        <v>0</v>
      </c>
      <c r="AO21" s="540">
        <f>IF(ISNUMBER(STDEV(AO8:AO18)),STDEV(AO8:AO18),"-")</f>
        <v>1.4230362530499747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ympMLfSHcx4QRWIQ5eahnyYct3951cTNBORV4vcCIL1Q+34lAeG8b48Gc2T099jzLGtYhquJe3Bcg2xS083Fg==" saltValue="CZNHzSwjrJ3juIA9ZCb5p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QTvuWSTbHH7ECLf60MaW40Pj+R83m065CK04mJYJyS8FTb0s8OwOgTdoZukoJeZUJy6uB9WiznkCJosRHJdTQ==" saltValue="9UL1IOJf7y1N6i+vevLx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cTolbmNTwY8tG/HtPNRw/f3NWPhScLiA0lMzUudHGSiTjDcMG0E2YgJMV7wlbXNK/L0WBw+giIynCKK8L2W3g==" saltValue="7SNk7AJ4g9D27LivuNsoQ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0.32299270072992703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0.22839032895988853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a+x2sPNPiYRBybMipytflynt3po4c3VKM2Jbwi+HQZn79O24ZWFuHjYsH+oJK8xS4PnV+Kj/dJQQC7im2TMtHQ==" saltValue="y2ewnuikwJksF01yYdf4S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Xu4iwKgPg7RwW6NUQ8C9R3sCSj1OCtSQojuMsPG+ld9MCLz2fU3McAPx+UyhuvM7v0e1MGtTnjS3q+k4GmKePQ==" saltValue="CJyUfl9I+caCQy1eQ8JL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GIRONA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7068</v>
      </c>
      <c r="D9" s="404">
        <f>IF(ISNUMBER(C9/Datos!BH9),C9/Datos!BH9," - ")</f>
        <v>1178</v>
      </c>
      <c r="E9" s="403">
        <f>IF(ISNUMBER(IF(J_V="SI",Datos!J9,Datos!J9+Datos!Z9)),IF(J_V="SI",Datos!J9,Datos!J9+Datos!Z9)," - ")</f>
        <v>5370</v>
      </c>
      <c r="F9" s="404">
        <f>IF(ISNUMBER(E9/B9),E9/B9," - ")</f>
        <v>895</v>
      </c>
      <c r="G9" s="403">
        <f>IF(ISNUMBER(IF(J_V="SI",Datos!K9,Datos!K9+Datos!AA9)),IF(J_V="SI",Datos!K9,Datos!K9+Datos!AA9)," - ")</f>
        <v>4795</v>
      </c>
      <c r="H9" s="404">
        <f>IF(ISNUMBER(G9/B9),G9/B9," - ")</f>
        <v>799.16666666666663</v>
      </c>
      <c r="I9" s="403">
        <f>IF(ISNUMBER(IF(J_V="SI",Datos!L9,Datos!L9+Datos!AB9)),IF(J_V="SI",Datos!L9,Datos!L9+Datos!AB9)," - ")</f>
        <v>7740</v>
      </c>
      <c r="J9" s="404">
        <f>IF(ISNUMBER(I9/B9),I9/B9," - ")</f>
        <v>1290</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77</v>
      </c>
      <c r="D10" s="404">
        <f>IF(ISNUMBER(C10/Datos!BH10),C10/Datos!BH10," - ")</f>
        <v>77</v>
      </c>
      <c r="E10" s="403">
        <f>IF(ISNUMBER(Datos!J10),Datos!J10," - ")</f>
        <v>33</v>
      </c>
      <c r="F10" s="404">
        <f>IF(ISNUMBER(E10/B10),E10/B10," - ")</f>
        <v>33</v>
      </c>
      <c r="G10" s="403">
        <f>IF(ISNUMBER(Datos!K10),Datos!K10," - ")</f>
        <v>39</v>
      </c>
      <c r="H10" s="404">
        <f>IF(ISNUMBER(G10/B10),G10/B10," - ")</f>
        <v>39</v>
      </c>
      <c r="I10" s="403">
        <f>IF(ISNUMBER(Datos!L10),Datos!L10," - ")</f>
        <v>71</v>
      </c>
      <c r="J10" s="404">
        <f>IF(ISNUMBER(I10/B10),I10/B10," - ")</f>
        <v>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744</v>
      </c>
      <c r="D11" s="404">
        <f>IF(ISNUMBER(C11/Datos!BH11),C11/Datos!BH11," - ")</f>
        <v>372</v>
      </c>
      <c r="E11" s="403">
        <f>IF(ISNUMBER(IF(J_V="SI",Datos!J11,Datos!J11+Datos!Z11)),IF(J_V="SI",Datos!J11,Datos!J11+Datos!Z11)," - ")</f>
        <v>648</v>
      </c>
      <c r="F11" s="404">
        <f>IF(ISNUMBER(E11/B11),E11/B11," - ")</f>
        <v>324</v>
      </c>
      <c r="G11" s="403">
        <f>IF(ISNUMBER(IF(J_V="SI",Datos!K11,Datos!K11+Datos!AA11)),IF(J_V="SI",Datos!K11,Datos!K11+Datos!AA11)," - ")</f>
        <v>646</v>
      </c>
      <c r="H11" s="404">
        <f>IF(ISNUMBER(G11/B11),G11/B11," - ")</f>
        <v>323</v>
      </c>
      <c r="I11" s="403">
        <f>IF(ISNUMBER(IF(J_V="SI",Datos!L11,Datos!L11+Datos!AB11)),IF(J_V="SI",Datos!L11,Datos!L11+Datos!AB11)," - ")</f>
        <v>746</v>
      </c>
      <c r="J11" s="404">
        <f>IF(ISNUMBER(I11/B11),I11/B11," - ")</f>
        <v>373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7889</v>
      </c>
      <c r="D13" s="850" t="str">
        <f>IF(ISNUMBER(C13/Datos!BI13),C13/Datos!BI13," - ")</f>
        <v xml:space="preserve"> - </v>
      </c>
      <c r="E13" s="849">
        <f>SUBTOTAL(9,E8:E12)</f>
        <v>6051</v>
      </c>
      <c r="F13" s="850">
        <f>IF(ISNUMBER(E13/B13),E13/B13," - ")</f>
        <v>672.33333333333337</v>
      </c>
      <c r="G13" s="849">
        <f>SUBTOTAL(9,G8:G12)</f>
        <v>5480</v>
      </c>
      <c r="H13" s="850">
        <f>IF(ISNUMBER(G13/B13),G13/B13," - ")</f>
        <v>608.88888888888891</v>
      </c>
      <c r="I13" s="849">
        <f>SUBTOTAL(9,I8:I12)</f>
        <v>8557</v>
      </c>
      <c r="J13" s="850">
        <f>IF(ISNUMBER(I13/B13),I13/B13," - ")</f>
        <v>950.77777777777783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3695</v>
      </c>
      <c r="D15" s="404">
        <f>IF(ISNUMBER(C15/Datos!BH15),C15/Datos!BH15," - ")</f>
        <v>923.75</v>
      </c>
      <c r="E15" s="403">
        <f>IF(ISNUMBER(IF(D_I="SI",Datos!J15,Datos!J15+Datos!AD15)),IF(D_I="SI",Datos!J15,Datos!J15+Datos!AD15)," - ")</f>
        <v>3961</v>
      </c>
      <c r="F15" s="404">
        <f>IF(ISNUMBER(E15/B15),E15/B15," - ")</f>
        <v>990.25</v>
      </c>
      <c r="G15" s="403">
        <f>IF(ISNUMBER(IF(D_I="SI",Datos!K15,Datos!K15+Datos!AE15)),IF(D_I="SI",Datos!K15,Datos!K15+Datos!AE15)," - ")</f>
        <v>3898</v>
      </c>
      <c r="H15" s="404">
        <f>IF(ISNUMBER(G15/B15),G15/B15," - ")</f>
        <v>974.5</v>
      </c>
      <c r="I15" s="403">
        <f>IF(ISNUMBER(IF(D_I="SI",Datos!L15,Datos!L15+Datos!AF15)),IF(D_I="SI",Datos!L15,Datos!L15+Datos!AF15)," - ")</f>
        <v>4154</v>
      </c>
      <c r="J15" s="404">
        <f>IF(ISNUMBER(I15/B15),I15/B15," - ")</f>
        <v>1038.5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162</v>
      </c>
      <c r="D17" s="404">
        <f>IF(ISNUMBER(C17/Datos!BH17),C17/Datos!BH17," - ")</f>
        <v>162</v>
      </c>
      <c r="E17" s="403">
        <f>IF(ISNUMBER(IF(D_I="SI",Datos!J17,Datos!J17+Datos!AD17)),IF(D_I="SI",Datos!J17,Datos!J17+Datos!AD17)," - ")</f>
        <v>339</v>
      </c>
      <c r="F17" s="404">
        <f>IF(ISNUMBER(E17/B17),E17/B17," - ")</f>
        <v>339</v>
      </c>
      <c r="G17" s="403">
        <f>IF(ISNUMBER(IF(D_I="SI",Datos!K17,Datos!K17+Datos!AE17)),IF(D_I="SI",Datos!K17,Datos!K17+Datos!AE17)," - ")</f>
        <v>354</v>
      </c>
      <c r="H17" s="404">
        <f>IF(ISNUMBER(G17/B17),G17/B17," - ")</f>
        <v>354</v>
      </c>
      <c r="I17" s="403">
        <f>IF(ISNUMBER(IF(D_I="SI",Datos!L17,Datos!L17+Datos!AF17)),IF(D_I="SI",Datos!L17,Datos!L17+Datos!AF17)," - ")</f>
        <v>147</v>
      </c>
      <c r="J17" s="404">
        <f>IF(ISNUMBER(I17/B17),I17/B17," - ")</f>
        <v>147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3859</v>
      </c>
      <c r="D18" s="850" t="str">
        <f>IF(ISNUMBER(C18/Datos!BI18),C18/Datos!BI18," - ")</f>
        <v xml:space="preserve"> - </v>
      </c>
      <c r="E18" s="849">
        <f>SUBTOTAL(9,E14:E17)</f>
        <v>4300</v>
      </c>
      <c r="F18" s="850">
        <f>IF(ISNUMBER(E18/B18),E18/B18," - ")</f>
        <v>860</v>
      </c>
      <c r="G18" s="849">
        <f>SUBTOTAL(9,G14:G17)</f>
        <v>4252</v>
      </c>
      <c r="H18" s="850">
        <f>IF(ISNUMBER(G18/B18),G18/B18," - ")</f>
        <v>850.4</v>
      </c>
      <c r="I18" s="849">
        <f>SUBTOTAL(9,I14:I17)</f>
        <v>4303</v>
      </c>
      <c r="J18" s="850">
        <f>IF(ISNUMBER(I18/B18),I18/B18," - ")</f>
        <v>860.6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11748</v>
      </c>
      <c r="D19" s="795" t="str">
        <f>IF(ISNUMBER(C19/Datos!BI19),C19/Datos!BI19," - ")</f>
        <v xml:space="preserve"> - </v>
      </c>
      <c r="E19" s="794">
        <f>SUBTOTAL(9,E9:E18)</f>
        <v>10351</v>
      </c>
      <c r="F19" s="795">
        <f>IF(ISNUMBER(E19/B19),E19/B19," - ")</f>
        <v>796.23076923076928</v>
      </c>
      <c r="G19" s="794">
        <f>SUBTOTAL(9,G9:G18)</f>
        <v>9732</v>
      </c>
      <c r="H19" s="795">
        <f>IF(ISNUMBER(G19/B19),G19/B19," - ")</f>
        <v>748.61538461538464</v>
      </c>
      <c r="I19" s="794">
        <f>SUBTOTAL(9,I9:I18)</f>
        <v>12860</v>
      </c>
      <c r="J19" s="795">
        <f>IF(ISNUMBER(I19/B19),I19/B19," - ")</f>
        <v>989.23076923076928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IkMfMXNlE/onn7tEXC6PFVVDQPx4ROPonpwpzB4LCLZRHhazDA8H8egqdF7yZ5gR2DyO+/M/QIsO2/+VypwvQ==" saltValue="blsaUKKiA0EwKUxG8UvO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GIRONA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77</v>
      </c>
      <c r="G10" s="684">
        <f>IF(ISNUMBER(Datos!I10),Datos!I10," - ")</f>
        <v>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5.4615384615384617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77</v>
      </c>
      <c r="G13" s="938">
        <f t="shared" si="0"/>
        <v>77</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0</v>
      </c>
      <c r="AE13" s="939">
        <f t="shared" si="1"/>
        <v>0</v>
      </c>
      <c r="AF13" s="939">
        <f t="shared" si="1"/>
        <v>71</v>
      </c>
      <c r="AG13" s="939">
        <f t="shared" si="1"/>
        <v>0</v>
      </c>
      <c r="AH13" s="939">
        <f t="shared" si="1"/>
        <v>0</v>
      </c>
      <c r="AI13" s="939">
        <f t="shared" si="1"/>
        <v>0</v>
      </c>
      <c r="AJ13" s="939">
        <f t="shared" si="1"/>
        <v>0</v>
      </c>
      <c r="AK13" s="939">
        <f t="shared" si="1"/>
        <v>0</v>
      </c>
      <c r="AL13" s="939">
        <f t="shared" si="1"/>
        <v>15</v>
      </c>
      <c r="AM13" s="939">
        <f t="shared" si="1"/>
        <v>19</v>
      </c>
      <c r="AN13" s="939">
        <f t="shared" si="1"/>
        <v>0</v>
      </c>
      <c r="AO13" s="939">
        <f t="shared" si="1"/>
        <v>0</v>
      </c>
      <c r="AP13" s="944">
        <f>IF(ISNUMBER(((Datos!L13/Datos!K13)*11)/factor_trimestre),((Datos!L13/Datos!K13)*11)/factor_trimestre," - ")</f>
        <v>4.9042923433874712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-0.50649350649350644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3.0359830667920975</v>
      </c>
      <c r="AQ18" s="944">
        <f>IF(ISNUMBER(((Datos!M18/Datos!L18)*11)/factor_trimestre),((Datos!M18/Datos!L18)*11)/factor_trimestre," - ")</f>
        <v>0.33883337206600045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4.3037974683544304E-2</v>
      </c>
      <c r="AW18" s="946">
        <f>IF(ISNUMBER((Datos!Q18-Datos!R18)/(Datos!S18-Datos!Q18+Datos!R18)),(Datos!Q18-Datos!R18)/(Datos!S18-Datos!Q18+Datos!R18)," - ")</f>
        <v>-7.3080708661417318E-2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77</v>
      </c>
      <c r="G19" s="951">
        <f t="shared" si="4"/>
        <v>77</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0</v>
      </c>
      <c r="AE19" s="957">
        <f t="shared" si="5"/>
        <v>0</v>
      </c>
      <c r="AF19" s="958">
        <f t="shared" si="5"/>
        <v>71</v>
      </c>
      <c r="AG19" s="958">
        <f t="shared" si="5"/>
        <v>0</v>
      </c>
      <c r="AH19" s="958">
        <f t="shared" si="5"/>
        <v>0</v>
      </c>
      <c r="AI19" s="958">
        <f t="shared" si="5"/>
        <v>0</v>
      </c>
      <c r="AJ19" s="959">
        <f t="shared" si="5"/>
        <v>0</v>
      </c>
      <c r="AK19" s="959">
        <f t="shared" si="5"/>
        <v>0</v>
      </c>
      <c r="AL19" s="951">
        <f t="shared" si="5"/>
        <v>15</v>
      </c>
      <c r="AM19" s="951">
        <f t="shared" si="5"/>
        <v>19</v>
      </c>
      <c r="AN19" s="951">
        <f t="shared" si="5"/>
        <v>0</v>
      </c>
      <c r="AO19" s="951">
        <f t="shared" si="5"/>
        <v>0</v>
      </c>
      <c r="AP19" s="951">
        <f>IF(ISNUMBER(((Datos!L19/Datos!K19)*11)/factor_trimestre),((Datos!L19/Datos!K19)*11)/factor_trimestre," - ")</f>
        <v>4.0613327674023774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-0.50649350649350644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-1.4148396155092342E-2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44.455970727601184</v>
      </c>
      <c r="G21" s="737">
        <f>IF(ISNUMBER(STDEV(G8:G18)),STDEV(G8:G18),"-")</f>
        <v>44.455970727601184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1.2704606620034764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a5OwyiLKOegfiM6WnuL+pfY1EqoAN0yJCwfbop3uwwUg87OG9/wDHFTIjiekxbZnhuSMc6qLKeSHGASeOUigmQ==" saltValue="4jfW/1eZzk2aNqYMuogw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GIRONA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epJBCfkWBfTf+c/OV10JtxVKhgSc80m7Q1QAJWpqHDqzpX2VYyvR0f1zkhl9Aub7bkx0hB2eq1GgmxyuC7zmA==" saltValue="zAP7onb4aMNzVbYfi/b0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GIRONA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1605</v>
      </c>
      <c r="E9" s="404">
        <f t="shared" ref="E9:E13" si="0">IF(ISNUMBER(D9/B9),D9/B9," - ")</f>
        <v>267.5</v>
      </c>
      <c r="F9" s="403">
        <f>IF(ISNUMBER(Datos!N9),Datos!N9," - ")</f>
        <v>2042</v>
      </c>
      <c r="G9" s="404">
        <f t="shared" ref="G9:G13" si="1">IF(ISNUMBER(F9/B9),F9/B9," - ")</f>
        <v>340.33333333333331</v>
      </c>
      <c r="H9" s="403">
        <f>IF(ISNUMBER(Datos!O9),Datos!O9," - ")</f>
        <v>1377</v>
      </c>
      <c r="I9" s="404">
        <f>IF(ISNUMBER(H9/B9),H9/B9," - ")</f>
        <v>229.5</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19</v>
      </c>
      <c r="G10" s="404">
        <f>IF(ISNUMBER(F10/B10),F10/B10," - ")</f>
        <v>19</v>
      </c>
      <c r="H10" s="403">
        <f>IF(ISNUMBER(Datos!O10),Datos!O10," - ")</f>
        <v>16</v>
      </c>
      <c r="I10" s="404">
        <f t="shared" ref="I10:I12" si="2">IF(ISNUMBER(H10/B10),H10/B10," - ")</f>
        <v>16</v>
      </c>
      <c r="BZ10" s="1186">
        <f>Datos!EZ10</f>
        <v>0</v>
      </c>
    </row>
    <row r="11" spans="1:78">
      <c r="A11" s="402" t="str">
        <f>Datos!A11</f>
        <v xml:space="preserve">Jdos. Familia                                   </v>
      </c>
      <c r="B11" s="427">
        <f>Datos!AO11</f>
        <v>2</v>
      </c>
      <c r="C11" s="410">
        <f>Datos!AQ11</f>
        <v>2</v>
      </c>
      <c r="D11" s="403">
        <f>IF(ISNUMBER(Datos!M11),Datos!M11," - ")</f>
        <v>150</v>
      </c>
      <c r="E11" s="404">
        <f t="shared" si="0"/>
        <v>75</v>
      </c>
      <c r="F11" s="403">
        <f>IF(ISNUMBER(Datos!N11),Datos!N11," - ")</f>
        <v>341</v>
      </c>
      <c r="G11" s="404">
        <f t="shared" si="1"/>
        <v>170.5</v>
      </c>
      <c r="H11" s="403">
        <f>IF(ISNUMBER(Datos!O11),Datos!O11," - ")</f>
        <v>164</v>
      </c>
      <c r="I11" s="404">
        <f t="shared" si="2"/>
        <v>82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1770</v>
      </c>
      <c r="E13" s="850">
        <f t="shared" si="0"/>
        <v>196.66666666666666</v>
      </c>
      <c r="F13" s="849">
        <f>SUBTOTAL(9,F9:F12)</f>
        <v>2402</v>
      </c>
      <c r="G13" s="850">
        <f t="shared" si="1"/>
        <v>266.88888888888891</v>
      </c>
      <c r="H13" s="849">
        <f>SUBTOTAL(9,H9:H12)</f>
        <v>1557</v>
      </c>
      <c r="I13" s="850">
        <f>IF(ISNUMBER(H13/B13),H13/B13," - ")</f>
        <v>173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477</v>
      </c>
      <c r="E15" s="404">
        <f t="shared" ref="E15:E18" si="3">IF(ISNUMBER(D15/B15),D15/B15," - ")</f>
        <v>119.25</v>
      </c>
      <c r="F15" s="403">
        <f>IF(ISNUMBER(Datos!N15),Datos!N15," - ")</f>
        <v>2304</v>
      </c>
      <c r="G15" s="404">
        <f t="shared" ref="G15:G18" si="4">IF(ISNUMBER(F15/B15),F15/B15," - ")</f>
        <v>576</v>
      </c>
      <c r="H15" s="403">
        <f>IF(ISNUMBER(Datos!O15),Datos!O15," - ")</f>
        <v>113</v>
      </c>
      <c r="I15" s="404">
        <f t="shared" ref="I15:I17" si="5">IF(ISNUMBER(H15/B15),H15/B15," - ")</f>
        <v>28.25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9</v>
      </c>
      <c r="E17" s="404">
        <f>IF(ISNUMBER(D17/B17),D17/B17," - ")</f>
        <v>9</v>
      </c>
      <c r="F17" s="403">
        <f>IF(ISNUMBER(Datos!N17),Datos!N17," - ")</f>
        <v>232</v>
      </c>
      <c r="G17" s="404">
        <f>IF(ISNUMBER(F17/B17),F17/B17," - ")</f>
        <v>232</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486</v>
      </c>
      <c r="E18" s="850">
        <f t="shared" si="3"/>
        <v>97.2</v>
      </c>
      <c r="F18" s="849">
        <f>SUBTOTAL(9,F15:F17)</f>
        <v>2536</v>
      </c>
      <c r="G18" s="850">
        <f t="shared" si="4"/>
        <v>507.2</v>
      </c>
      <c r="H18" s="849">
        <f>SUBTOTAL(9,H15:H17)</f>
        <v>113</v>
      </c>
      <c r="I18" s="850">
        <f>IF(ISNUMBER(H18/B18),H18/B18," - ")</f>
        <v>22.6</v>
      </c>
      <c r="BZ18" s="1186"/>
    </row>
    <row r="19" spans="1:78" ht="14.25" thickTop="1" thickBot="1">
      <c r="A19" s="793" t="str">
        <f>Datos!A19</f>
        <v>TOTAL JURISDICCIONES</v>
      </c>
      <c r="B19" s="794">
        <f>Datos!AP19</f>
        <v>13</v>
      </c>
      <c r="C19" s="794">
        <f>Datos!AR19</f>
        <v>13</v>
      </c>
      <c r="D19" s="794">
        <f>SUBTOTAL(9,D8:D18)</f>
        <v>2256</v>
      </c>
      <c r="E19" s="795">
        <f>IF(ISNUMBER(D19/B19),D19/B19," - ")</f>
        <v>173.53846153846155</v>
      </c>
      <c r="F19" s="794">
        <f>SUBTOTAL(9,F8:F18)</f>
        <v>4938</v>
      </c>
      <c r="G19" s="795">
        <f>IF(ISNUMBER(F19/B19),F19/B19," - ")</f>
        <v>379.84615384615387</v>
      </c>
      <c r="H19" s="794">
        <f>SUBTOTAL(9,H8:H18)</f>
        <v>1670</v>
      </c>
      <c r="I19" s="795">
        <f>IF(ISNUMBER(H19/B19),H19/B19," - ")</f>
        <v>128.46153846153845</v>
      </c>
    </row>
    <row r="22" spans="1:78">
      <c r="A22" s="391" t="str">
        <f>Criterios!A4</f>
        <v>Fecha Informe: 03 jun. 2025</v>
      </c>
    </row>
    <row r="27" spans="1:78">
      <c r="A27" s="414"/>
    </row>
  </sheetData>
  <sheetProtection algorithmName="SHA-512" hashValue="SN9FAAM8v+gk/6wAOr1cEQuzHKBHguwV+lu3AWDqNGXPilXYhL/KKbfHZa+e7EzeI1c9RWRBrUl236uXeC46Ow==" saltValue="I0uMKaB7LSCF74AL5WI/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GIRONA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944</v>
      </c>
      <c r="C9" s="434">
        <f>IF(ISNUMBER(Datos!Q9),Datos!Q9," - ")</f>
        <v>1056</v>
      </c>
      <c r="D9" s="408">
        <f>IF(ISNUMBER(Datos!R9),Datos!R9," - ")</f>
        <v>8065</v>
      </c>
    </row>
    <row r="10" spans="1:4">
      <c r="A10" s="402" t="str">
        <f>Datos!A10</f>
        <v>Jdos. Violencia contra la mujer</v>
      </c>
      <c r="B10" s="433">
        <f>IF(ISNUMBER(Datos!P10),Datos!P10," - ")</f>
        <v>13</v>
      </c>
      <c r="C10" s="434">
        <f>IF(ISNUMBER(Datos!Q10),Datos!Q10," - ")</f>
        <v>42</v>
      </c>
      <c r="D10" s="408">
        <f>IF(ISNUMBER(Datos!R10),Datos!R10," - ")</f>
        <v>95</v>
      </c>
    </row>
    <row r="11" spans="1:4">
      <c r="A11" s="402" t="str">
        <f>Datos!A11</f>
        <v xml:space="preserve">Jdos. Familia                                   </v>
      </c>
      <c r="B11" s="433">
        <f>IF(ISNUMBER(Datos!P11),Datos!P11," - ")</f>
        <v>52</v>
      </c>
      <c r="C11" s="434">
        <f>IF(ISNUMBER(Datos!Q11),Datos!Q11," - ")</f>
        <v>59</v>
      </c>
      <c r="D11" s="408">
        <f>IF(ISNUMBER(Datos!R11),Datos!R11," - ")</f>
        <v>556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1009</v>
      </c>
      <c r="C13" s="853">
        <f>SUBTOTAL(9,C9:C12)</f>
        <v>1157</v>
      </c>
      <c r="D13" s="851">
        <f>SUBTOTAL(9,D9:D12)</f>
        <v>8716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129</v>
      </c>
      <c r="C15" s="434">
        <f>IF(ISNUMBER(Datos!Q15),Datos!Q15," - ")</f>
        <v>114</v>
      </c>
      <c r="D15" s="408">
        <f>IF(ISNUMBER(Datos!R15),Datos!R15," - ")</f>
        <v>403</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3</v>
      </c>
      <c r="C17" s="434">
        <f>IF(ISNUMBER(Datos!Q17),Datos!Q17," - ")</f>
        <v>1</v>
      </c>
      <c r="D17" s="408">
        <f>IF(ISNUMBER(Datos!R17),Datos!R17," - ")</f>
        <v>8</v>
      </c>
    </row>
    <row r="18" spans="1:4" ht="14.25" thickTop="1" thickBot="1">
      <c r="A18" s="848" t="str">
        <f>Datos!A18</f>
        <v>TOTAL</v>
      </c>
      <c r="B18" s="849">
        <f>SUBTOTAL(9,B15:B17)</f>
        <v>132</v>
      </c>
      <c r="C18" s="853">
        <f>SUBTOTAL(9,C15:C17)</f>
        <v>115</v>
      </c>
      <c r="D18" s="851">
        <f>SUBTOTAL(9,D15:D17)</f>
        <v>412</v>
      </c>
    </row>
    <row r="19" spans="1:4" ht="16.5" customHeight="1" thickTop="1" thickBot="1">
      <c r="A19" s="793" t="str">
        <f>Datos!A19</f>
        <v>TOTAL JURISDICCIONES</v>
      </c>
      <c r="B19" s="798">
        <f>SUBTOTAL(9,B8:B18)</f>
        <v>1141</v>
      </c>
      <c r="C19" s="799">
        <f>SUBTOTAL(9,C8:C18)</f>
        <v>1272</v>
      </c>
      <c r="D19" s="800">
        <f>SUBTOTAL(9,D8:D18)</f>
        <v>9128</v>
      </c>
    </row>
    <row r="20" spans="1:4" ht="7.5" customHeight="1"/>
    <row r="21" spans="1:4" ht="6" customHeight="1"/>
    <row r="22" spans="1:4">
      <c r="A22" s="391" t="str">
        <f>Criterios!A4</f>
        <v>Fecha Informe: 03 jun. 2025</v>
      </c>
    </row>
    <row r="27" spans="1:4">
      <c r="A27" s="414"/>
    </row>
  </sheetData>
  <sheetProtection algorithmName="SHA-512" hashValue="/Y5H+8IyHTwfGJHpD7InP0nX4VI3k3MuRQAPMOTD3MHl90bIvLhRF2q7r+X1D5brd4kAPsGFLZkwcykEodQnWA==" saltValue="azMbSY35PwF9DRNwHn80k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GIRONA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0.13651712493970092</v>
      </c>
      <c r="C9" s="456">
        <f>IF(ISNUMBER(
   IF(J_V="SI",(Datos!J9-Datos!T9)/Datos!T9,(Datos!J9+Datos!Z9-(Datos!T9+Datos!AH9))/(Datos!T9+Datos!AH9))
     ),IF(J_V="SI",(Datos!J9-Datos!T9)/Datos!T9,(Datos!J9+Datos!Z9-(Datos!T9+Datos!AH9))/(Datos!T9+Datos!AH9))," - ")</f>
        <v>0.30434782608695654</v>
      </c>
      <c r="D9" s="456">
        <f>IF(ISNUMBER(
   IF(J_V="SI",(Datos!K9-Datos!U9)/Datos!U9,(Datos!K9+Datos!AA9-(Datos!U9+Datos!AI9))/(Datos!U9+Datos!AI9))
     ),IF(J_V="SI",(Datos!K9-Datos!U9)/Datos!U9,(Datos!K9+Datos!AA9-(Datos!U9+Datos!AI9))/(Datos!U9+Datos!AI9))," - ")</f>
        <v>0.32312362030905079</v>
      </c>
      <c r="E9" s="456">
        <f>IF(ISNUMBER(
   IF(J_V="SI",(Datos!L9-Datos!V9)/Datos!V9,(Datos!L9+Datos!AB9-(Datos!V9+Datos!AJ9))/(Datos!V9+Datos!AJ9))
     ),IF(J_V="SI",(Datos!L9-Datos!V9)/Datos!V9,(Datos!L9+Datos!AB9-(Datos!V9+Datos!AJ9))/(Datos!V9+Datos!AJ9))," - ")</f>
        <v>0.15315852205005959</v>
      </c>
      <c r="F9" s="456">
        <f>IF(ISNUMBER((Datos!M9-Datos!W9)/Datos!W9),(Datos!M9-Datos!W9)/Datos!W9," - ")</f>
        <v>0.40666082383873797</v>
      </c>
      <c r="G9" s="457">
        <f>IF(ISNUMBER((Datos!N9-Datos!X9)/Datos!X9),(Datos!N9-Datos!X9)/Datos!X9," - ")</f>
        <v>0.10617551462621885</v>
      </c>
      <c r="H9" s="455">
        <f>IF(ISNUMBER(((NºAsuntos!G9/NºAsuntos!E9)-Datos!BD9)/Datos!BD9),((NºAsuntos!G9/NºAsuntos!E9)-Datos!BD9)/Datos!BD9," - ")</f>
        <v>1.4394775570272238E-2</v>
      </c>
      <c r="I9" s="456">
        <f>IF(ISNUMBER(((NºAsuntos!I9/NºAsuntos!G9)-Datos!BE9)/Datos!BE9),((NºAsuntos!I9/NºAsuntos!G9)-Datos!BE9)/Datos!BE9," - ")</f>
        <v>-0.12845745903870359</v>
      </c>
      <c r="J9" s="461">
        <f>IF(ISNUMBER((('Resol  Asuntos'!D9/NºAsuntos!G9)-Datos!BF9)/Datos!BF9),(('Resol  Asuntos'!D9/NºAsuntos!G9)-Datos!BF9)/Datos!BF9," - ")</f>
        <v>-0.34288267505086673</v>
      </c>
      <c r="K9" s="462">
        <f>IF(ISNUMBER((((NºAsuntos!C9+NºAsuntos!E9)/NºAsuntos!G9)-Datos!BG9)/Datos!BG9),(((NºAsuntos!C9+NºAsuntos!E9)/NºAsuntos!G9)-Datos!BG9)/Datos!BG9," - ")</f>
        <v>-9.0510626071404365E-2</v>
      </c>
    </row>
    <row r="10" spans="1:11">
      <c r="A10" s="402" t="str">
        <f>Datos!A10</f>
        <v>Jdos. Violencia contra la mujer</v>
      </c>
      <c r="B10" s="455">
        <f>IF(ISNUMBER((Datos!I10-Datos!S10)/Datos!S10),(Datos!I10-Datos!S10)/Datos!S10," - ")</f>
        <v>0.1</v>
      </c>
      <c r="C10" s="456">
        <f>IF(ISNUMBER((Datos!J10-Datos!T10)/Datos!T10),(Datos!J10-Datos!T10)/Datos!T10," - ")</f>
        <v>0.17857142857142858</v>
      </c>
      <c r="D10" s="456">
        <f>IF(ISNUMBER((Datos!K10-Datos!U10)/Datos!U10),(Datos!K10-Datos!U10)/Datos!U10," - ")</f>
        <v>-2.5000000000000001E-2</v>
      </c>
      <c r="E10" s="456">
        <f>IF(ISNUMBER((Datos!L10-Datos!V10)/Datos!V10),(Datos!L10-Datos!V10)/Datos!V10," - ")</f>
        <v>0.22413793103448276</v>
      </c>
      <c r="F10" s="456">
        <f>IF(ISNUMBER((Datos!M10-Datos!W10)/Datos!W10),(Datos!M10-Datos!W10)/Datos!W10," - ")</f>
        <v>2</v>
      </c>
      <c r="G10" s="457">
        <f>IF(ISNUMBER((Datos!N10-Datos!X10)/Datos!X10),(Datos!N10-Datos!X10)/Datos!X10," - ")</f>
        <v>-0.38709677419354838</v>
      </c>
      <c r="H10" s="455">
        <f>IF(ISNUMBER(((NºAsuntos!G10/NºAsuntos!E10)-Datos!BD10)/Datos!BD10),((NºAsuntos!G10/NºAsuntos!E10)-Datos!BD10)/Datos!BD10," - ")</f>
        <v>-0.1727272727272727</v>
      </c>
      <c r="I10" s="456">
        <f>IF(ISNUMBER(((NºAsuntos!I10/NºAsuntos!G10)-Datos!BE10)/Datos!BE10),((NºAsuntos!I10/NºAsuntos!G10)-Datos!BE10)/Datos!BE10," - ")</f>
        <v>0.25552608311229003</v>
      </c>
      <c r="J10" s="461">
        <f>IF(ISNUMBER((('Resol  Asuntos'!D10/NºAsuntos!G10)-Datos!BF10)/Datos!BF10),(('Resol  Asuntos'!D10/NºAsuntos!G10)-Datos!BF10)/Datos!BF10," - ")</f>
        <v>2.0769230769230771</v>
      </c>
      <c r="K10" s="462">
        <f>IF(ISNUMBER((((NºAsuntos!C10+NºAsuntos!E10)/NºAsuntos!G10)-Datos!BG10)/Datos!BG10),(((NºAsuntos!C10+NºAsuntos!E10)/NºAsuntos!G10)-Datos!BG10)/Datos!BG10," - ")</f>
        <v>0.15122972265829407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-5.2229299363057327E-2</v>
      </c>
      <c r="C11" s="456">
        <f>IF(ISNUMBER(
   IF(J_V="SI",(Datos!J11-Datos!T11)/Datos!T11,(Datos!J11+Datos!Z11-(Datos!T11+Datos!AH11))/(Datos!T11+Datos!AH11))
     ),IF(J_V="SI",(Datos!J11-Datos!T11)/Datos!T11,(Datos!J11+Datos!Z11-(Datos!T11+Datos!AH11))/(Datos!T11+Datos!AH11))," - ")</f>
        <v>-6.8965517241379309E-2</v>
      </c>
      <c r="D11" s="456">
        <f>IF(ISNUMBER(
   IF(J_V="SI",(Datos!K11-Datos!U11)/Datos!U11,(Datos!K11+Datos!AA11-(Datos!U11+Datos!AI11))/(Datos!U11+Datos!AI11))
     ),IF(J_V="SI",(Datos!K11-Datos!U11)/Datos!U11,(Datos!K11+Datos!AA11-(Datos!U11+Datos!AI11))/(Datos!U11+Datos!AI11))," - ")</f>
        <v>1.5723270440251572E-2</v>
      </c>
      <c r="E11" s="456">
        <f>IF(ISNUMBER(
   IF(J_V="SI",(Datos!L11-Datos!V11)/Datos!V11,(Datos!L11+Datos!AB11-(Datos!V11+Datos!AJ11))/(Datos!V11+Datos!AJ11))
     ),IF(J_V="SI",(Datos!L11-Datos!V11)/Datos!V11,(Datos!L11+Datos!AB11-(Datos!V11+Datos!AJ11))/(Datos!V11+Datos!AJ11))," - ")</f>
        <v>-0.11715976331360947</v>
      </c>
      <c r="F11" s="456">
        <f>IF(ISNUMBER((Datos!M11-Datos!W11)/Datos!W11),(Datos!M11-Datos!W11)/Datos!W11," - ")</f>
        <v>-9.0909090909090912E-2</v>
      </c>
      <c r="G11" s="457">
        <f>IF(ISNUMBER((Datos!N11-Datos!X11)/Datos!X11),(Datos!N11-Datos!X11)/Datos!X11," - ")</f>
        <v>-0.14105793450881612</v>
      </c>
      <c r="H11" s="455">
        <f>IF(ISNUMBER(((NºAsuntos!G11/NºAsuntos!E11)-Datos!BD11)/Datos!BD11),((NºAsuntos!G11/NºAsuntos!E11)-Datos!BD11)/Datos!BD11," - ")</f>
        <v>9.0962031213603467E-2</v>
      </c>
      <c r="I11" s="456">
        <f>IF(ISNUMBER(((NºAsuntos!I11/NºAsuntos!G11)-Datos!BE11)/Datos!BE11),((NºAsuntos!I11/NºAsuntos!G11)-Datos!BE11)/Datos!BE11," - ")</f>
        <v>-0.13082602084745457</v>
      </c>
      <c r="J11" s="461">
        <f>IF(ISNUMBER((('Resol  Asuntos'!D11/NºAsuntos!G11)-Datos!BF11)/Datos!BF11),(('Resol  Asuntos'!D11/NºAsuntos!G11)-Datos!BF11)/Datos!BF11," - ")</f>
        <v>-0.62801506655956829</v>
      </c>
      <c r="K11" s="462">
        <f>IF(ISNUMBER((((NºAsuntos!C11+NºAsuntos!E11)/NºAsuntos!G11)-Datos!BG11)/Datos!BG11),(((NºAsuntos!C11+NºAsuntos!E11)/NºAsuntos!G11)-Datos!BG11)/Datos!BG11," - ")</f>
        <v>-7.4644150989938554E-2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0.11521063047780605</v>
      </c>
      <c r="C13" s="855">
        <f>IF(ISNUMBER(
   IF(J_V="SI",(Datos!J13-Datos!T13)/Datos!T13,(Datos!J13+Datos!Z13-(Datos!T13+Datos!AH13))/(Datos!T13+Datos!AH13))
     ),IF(J_V="SI",(Datos!J13-Datos!T13)/Datos!T13,(Datos!J13+Datos!Z13-(Datos!T13+Datos!AH13))/(Datos!T13+Datos!AH13))," - ")</f>
        <v>0.24994835777731875</v>
      </c>
      <c r="D13" s="855">
        <f>IF(ISNUMBER(
   IF(J_V="SI",(Datos!K13-Datos!U13)/Datos!U13,(Datos!K13+Datos!AA13-(Datos!U13+Datos!AI13))/(Datos!U13+Datos!AI13))
     ),IF(J_V="SI",(Datos!K13-Datos!U13)/Datos!U13,(Datos!K13+Datos!AA13-(Datos!U13+Datos!AI13))/(Datos!U13+Datos!AI13))," - ")</f>
        <v>0.2744186046511628</v>
      </c>
      <c r="E13" s="855">
        <f>IF(ISNUMBER(
   IF(J_V="SI",(Datos!L13-Datos!V13)/Datos!V13,(Datos!L13+Datos!AB13-(Datos!V13+Datos!AJ13))/(Datos!V13+Datos!AJ13))
     ),IF(J_V="SI",(Datos!L13-Datos!V13)/Datos!V13,(Datos!L13+Datos!AB13-(Datos!V13+Datos!AJ13))/(Datos!V13+Datos!AJ13))," - ")</f>
        <v>0.1237032173342088</v>
      </c>
      <c r="F13" s="856">
        <f>IF(ISNUMBER((Datos!M13-Datos!W13)/Datos!W13),(Datos!M13-Datos!W13)/Datos!W13," - ")</f>
        <v>0.35011441647597252</v>
      </c>
      <c r="G13" s="857">
        <f>IF(ISNUMBER((Datos!N13-Datos!X13)/Datos!X13),(Datos!N13-Datos!X13)/Datos!X13," - ")</f>
        <v>5.6288478452066845E-2</v>
      </c>
      <c r="H13" s="857">
        <f>IF(ISNUMBER(((NºAsuntos!G13/NºAsuntos!E13)-Datos!BD13)/Datos!BD13),((NºAsuntos!G13/NºAsuntos!E13)-Datos!BD13)/Datos!BD13," - ")</f>
        <v>1.9577006299170207E-2</v>
      </c>
      <c r="I13" s="857">
        <f>IF(ISNUMBER(((NºAsuntos!I13/NºAsuntos!G13)-Datos!BE13)/Datos!BE13),((NºAsuntos!I13/NºAsuntos!G13)-Datos!BE13)/Datos!BE13," - ")</f>
        <v>-0.11826207398958069</v>
      </c>
      <c r="J13" s="857">
        <f>IF(ISNUMBER((('Resol  Asuntos'!D13/NºAsuntos!G13)-Datos!BF13)/Datos!BF13),(('Resol  Asuntos'!D13/NºAsuntos!G13)-Datos!BF13)/Datos!BF13," - ")</f>
        <v>-0.38217588383510404</v>
      </c>
      <c r="K13" s="857">
        <f>IF(ISNUMBER((((NºAsuntos!C13+NºAsuntos!E13)/NºAsuntos!G13)-Datos!BG13)/Datos!BG13),(((NºAsuntos!C13+NºAsuntos!E13)/NºAsuntos!G13)-Datos!BG13)/Datos!BG13," - ")</f>
        <v>-8.1970527244380059E-2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1.7345814977973568E-2</v>
      </c>
      <c r="C15" s="456">
        <f>IF(ISNUMBER(
   IF(D_I="SI",(Datos!J15-Datos!T15)/Datos!T15,(Datos!J15+Datos!AD15-(Datos!T15+Datos!AL15))/(Datos!T15+Datos!AL15))
     ),IF(D_I="SI",(Datos!J15-Datos!T15)/Datos!T15,(Datos!J15+Datos!AD15-(Datos!T15+Datos!AL15))/(Datos!T15+Datos!AL15))," - ")</f>
        <v>0.14380594859948023</v>
      </c>
      <c r="D15" s="456">
        <f>IF(ISNUMBER(
   IF(D_I="SI",(Datos!K15-Datos!U15)/Datos!U15,(Datos!K15+Datos!AE15-(Datos!U15+Datos!AM15))/(Datos!U15+Datos!AM15))
     ),IF(D_I="SI",(Datos!K15-Datos!U15)/Datos!U15,(Datos!K15+Datos!AE15-(Datos!U15+Datos!AM15))/(Datos!U15+Datos!AM15))," - ")</f>
        <v>5.6082362503386614E-2</v>
      </c>
      <c r="E15" s="456">
        <f>IF(ISNUMBER(
   IF(D_I="SI",(Datos!L15-Datos!V15)/Datos!V15,(Datos!L15+Datos!AF15-(Datos!V15+Datos!AN15))/(Datos!V15+Datos!AN15))
     ),IF(D_I="SI",(Datos!L15-Datos!V15)/Datos!V15,(Datos!L15+Datos!AF15-(Datos!V15+Datos!AN15))/(Datos!V15+Datos!AN15))," - ")</f>
        <v>0.28527227722772275</v>
      </c>
      <c r="F15" s="456">
        <f>IF(ISNUMBER((Datos!M15-Datos!W15)/Datos!W15),(Datos!M15-Datos!W15)/Datos!W15," - ")</f>
        <v>-7.3786407766990289E-2</v>
      </c>
      <c r="G15" s="457">
        <f>IF(ISNUMBER((Datos!N15-Datos!X15)/Datos!X15),(Datos!N15-Datos!X15)/Datos!X15," - ")</f>
        <v>-1.0309278350515464E-2</v>
      </c>
      <c r="H15" s="455">
        <f>IF(ISNUMBER(((NºAsuntos!G15/NºAsuntos!E15)-Datos!BD15)/Datos!BD15),((NºAsuntos!G15/NºAsuntos!E15)-Datos!BD15)/Datos!BD15," - ")</f>
        <v>-7.6694465703300213E-2</v>
      </c>
      <c r="I15" s="456">
        <f>IF(ISNUMBER(((NºAsuntos!I15/NºAsuntos!G15)-Datos!BE15)/Datos!BE15),((NºAsuntos!I15/NºAsuntos!G15)-Datos!BE15)/Datos!BE15," - ")</f>
        <v>0.21701897774436246</v>
      </c>
      <c r="J15" s="461">
        <f>IF(ISNUMBER((('Resol  Asuntos'!D15/NºAsuntos!G15)-Datos!BF15)/Datos!BF15),(('Resol  Asuntos'!D15/NºAsuntos!G15)-Datos!BF15)/Datos!BF15," - ")</f>
        <v>-0.12297219883734251</v>
      </c>
      <c r="K15" s="462">
        <f>IF(ISNUMBER((((NºAsuntos!C15+NºAsuntos!E15)/NºAsuntos!G15)-Datos!BG15)/Datos!BG15),(((NºAsuntos!C15+NºAsuntos!E15)/NºAsuntos!G15)-Datos!BG15)/Datos!BG15," - ")</f>
        <v>2.1766678201104863E-2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0.21804511278195488</v>
      </c>
      <c r="C17" s="456">
        <f>IF(ISNUMBER(
   IF(D_I="SI",(Datos!J17-Datos!T17)/Datos!T17,(Datos!J17+Datos!AD17-(Datos!T17+Datos!AL17))/(Datos!T17+Datos!AL17))
     ),IF(D_I="SI",(Datos!J17-Datos!T17)/Datos!T17,(Datos!J17+Datos!AD17-(Datos!T17+Datos!AL17))/(Datos!T17+Datos!AL17))," - ")</f>
        <v>0.33992094861660077</v>
      </c>
      <c r="D17" s="456">
        <f>IF(ISNUMBER(
   IF(D_I="SI",(Datos!K17-Datos!U17)/Datos!U17,(Datos!K17+Datos!AE17-(Datos!U17+Datos!AM17))/(Datos!U17+Datos!AM17))
     ),IF(D_I="SI",(Datos!K17-Datos!U17)/Datos!U17,(Datos!K17+Datos!AE17-(Datos!U17+Datos!AM17))/(Datos!U17+Datos!AM17))," - ")</f>
        <v>0.39370078740157483</v>
      </c>
      <c r="E17" s="456">
        <f>IF(ISNUMBER(
   IF(D_I="SI",(Datos!L17-Datos!V17)/Datos!V17,(Datos!L17+Datos!AF17-(Datos!V17+Datos!AN17))/(Datos!V17+Datos!AN17))
     ),IF(D_I="SI",(Datos!L17-Datos!V17)/Datos!V17,(Datos!L17+Datos!AF17-(Datos!V17+Datos!AN17))/(Datos!V17+Datos!AN17))," - ")</f>
        <v>0.11363636363636363</v>
      </c>
      <c r="F17" s="456">
        <f>IF(ISNUMBER((Datos!M17-Datos!W17)/Datos!W17),(Datos!M17-Datos!W17)/Datos!W17," - ")</f>
        <v>0.2857142857142857</v>
      </c>
      <c r="G17" s="457">
        <f>IF(ISNUMBER((Datos!N17-Datos!X17)/Datos!X17),(Datos!N17-Datos!X17)/Datos!X17," - ")</f>
        <v>0.54666666666666663</v>
      </c>
      <c r="H17" s="455">
        <f>IF(ISNUMBER(((NºAsuntos!G17/NºAsuntos!E17)-Datos!BD17)/Datos!BD17),((NºAsuntos!G17/NºAsuntos!E17)-Datos!BD17)/Datos!BD17," - ")</f>
        <v>4.0136575848373025E-2</v>
      </c>
      <c r="I17" s="456">
        <f>IF(ISNUMBER(((NºAsuntos!I17/NºAsuntos!G17)-Datos!BE17)/Datos!BE17),((NºAsuntos!I17/NºAsuntos!G17)-Datos!BE17)/Datos!BE17," - ")</f>
        <v>-0.20095017976373902</v>
      </c>
      <c r="J17" s="461">
        <f>IF(ISNUMBER((('Resol  Asuntos'!D17/NºAsuntos!G17)-Datos!BF17)/Datos!BF17),(('Resol  Asuntos'!D17/NºAsuntos!G17)-Datos!BF17)/Datos!BF17," - ")</f>
        <v>-7.7481840193704535E-2</v>
      </c>
      <c r="K17" s="462">
        <f>IF(ISNUMBER((((NºAsuntos!C17+NºAsuntos!E17)/NºAsuntos!G17)-Datos!BG17)/Datos!BG17),(((NºAsuntos!C17+NºAsuntos!E17)/NºAsuntos!G17)-Datos!BG17)/Datos!BG17," - ")</f>
        <v>-6.8718714323351165E-2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2.4422617467480753E-2</v>
      </c>
      <c r="C18" s="855">
        <f>IF(ISNUMBER(
   IF(Criterios!B14="SI",(Datos!J18-Datos!T18)/Datos!T18,(Datos!J18+Datos!AD18-(Datos!T18+Datos!AL18))/(Datos!T18+Datos!AL18))
     ),IF(Criterios!B14="SI",(Datos!J18-Datos!T18)/Datos!T18,(Datos!J18+Datos!AD18-(Datos!T18+Datos!AL18))/(Datos!T18+Datos!AL18))," - ")</f>
        <v>0.15715823466092574</v>
      </c>
      <c r="D18" s="855">
        <f>IF(ISNUMBER(
   IF(Criterios!B14="SI",(Datos!K18-Datos!U18)/Datos!U18,(Datos!K18+Datos!AE18-(Datos!U18+Datos!AM18))/(Datos!U18+Datos!AM18))
     ),IF(Criterios!B14="SI",(Datos!K18-Datos!U18)/Datos!U18,(Datos!K18+Datos!AE18-(Datos!U18+Datos!AM18))/(Datos!U18+Datos!AM18))," - ")</f>
        <v>7.782002534854246E-2</v>
      </c>
      <c r="E18" s="855">
        <f>IF(ISNUMBER(
   IF(Criterios!B14="SI",(Datos!L18-Datos!V18)/Datos!V18,(Datos!L18+Datos!AF18-(Datos!V18+Datos!AN18))/(Datos!V18+Datos!AN18))
     ),IF(Criterios!B14="SI",(Datos!L18-Datos!V18)/Datos!V18,(Datos!L18+Datos!AF18-(Datos!V18+Datos!AN18))/(Datos!V18+Datos!AN18))," - ")</f>
        <v>0.27837195484254307</v>
      </c>
      <c r="F18" s="856">
        <f>IF(ISNUMBER((Datos!M18-Datos!W18)/Datos!W18),(Datos!M18-Datos!W18)/Datos!W18," - ")</f>
        <v>-6.8965517241379309E-2</v>
      </c>
      <c r="G18" s="857">
        <f>IF(ISNUMBER((Datos!N18-Datos!X18)/Datos!X18),(Datos!N18-Datos!X18)/Datos!X18," - ")</f>
        <v>2.3405972558514933E-2</v>
      </c>
      <c r="H18" s="857">
        <f>IF(ISNUMBER(((NºAsuntos!G18/NºAsuntos!E18)-Datos!BD18)/Datos!BD18),((NºAsuntos!G18/NºAsuntos!E18)-Datos!BD18)/Datos!BD18," - ")</f>
        <v>-6.856297344298061E-2</v>
      </c>
      <c r="I18" s="857">
        <f>IF(ISNUMBER(((NºAsuntos!I18/NºAsuntos!G18)-Datos!BE18)/Datos!BE18),((NºAsuntos!I18/NºAsuntos!G18)-Datos!BE18)/Datos!BE18," - ")</f>
        <v>0.1860718160521711</v>
      </c>
      <c r="J18" s="857">
        <f>IF(ISNUMBER((('Resol  Asuntos'!D18/NºAsuntos!G18)-Datos!BF18)/Datos!BF18),(('Resol  Asuntos'!D18/NºAsuntos!G18)-Datos!BF18)/Datos!BF18," - ")</f>
        <v>-0.1361874330943654</v>
      </c>
      <c r="K18" s="857">
        <f>IF(ISNUMBER((((NºAsuntos!C18+NºAsuntos!E18)/NºAsuntos!G18)-Datos!BG18)/Datos!BG18),(((NºAsuntos!C18+NºAsuntos!E18)/NºAsuntos!G18)-Datos!BG18)/Datos!BG18," - ")</f>
        <v>1.1614252889805143E-2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8.3663868646803807E-2</v>
      </c>
      <c r="C19" s="802">
        <f>IF(ISNUMBER(
   IF(J_V="SI",(Datos!J19-Datos!T19)/Datos!T19,(Datos!J19+Datos!Z19-(Datos!T19+Datos!AH19))/(Datos!T19+Datos!AH19))
     ),IF(J_V="SI",(Datos!J19-Datos!T19)/Datos!T19,(Datos!J19+Datos!Z19-(Datos!T19+Datos!AH19))/(Datos!T19+Datos!AH19))," - ")</f>
        <v>0.20965291574149819</v>
      </c>
      <c r="D19" s="802">
        <f>IF(ISNUMBER(
   IF(J_V="SI",(Datos!K19-Datos!U19)/Datos!U19,(Datos!K19+Datos!AA19-(Datos!U19+Datos!AI19))/(Datos!U19+Datos!AI19))
     ),IF(J_V="SI",(Datos!K19-Datos!U19)/Datos!U19,(Datos!K19+Datos!AA19-(Datos!U19+Datos!AI19))/(Datos!U19+Datos!AI19))," - ")</f>
        <v>0.18035172832019405</v>
      </c>
      <c r="E19" s="802">
        <f>IF(ISNUMBER(
   IF(J_V="SI",(Datos!L19-Datos!V19)/Datos!V19,(Datos!L19+Datos!AB19-(Datos!V19+Datos!AJ19))/(Datos!V19+Datos!AJ19))
     ),IF(J_V="SI",(Datos!L19-Datos!V19)/Datos!V19,(Datos!L19+Datos!AB19-(Datos!V19+Datos!AJ19))/(Datos!V19+Datos!AJ19))," - ")</f>
        <v>0.17111374191785811</v>
      </c>
      <c r="F19" s="803">
        <f>IF(ISNUMBER((Datos!M19-Datos!W19)/Datos!W19),(Datos!M19-Datos!W19)/Datos!W19," - ")</f>
        <v>0.23076923076923078</v>
      </c>
      <c r="G19" s="804">
        <f>IF(ISNUMBER((Datos!N19-Datos!X19)/Datos!X19),(Datos!N19-Datos!X19)/Datos!X19," - ")</f>
        <v>3.9141414141414144E-2</v>
      </c>
      <c r="H19" s="805">
        <f>IF(ISNUMBER((Tasas!B19-Datos!BD19)/Datos!BD19),(Tasas!B19-Datos!BD19)/Datos!BD19," - ")</f>
        <v>-2.4222805599854999E-2</v>
      </c>
      <c r="I19" s="806">
        <f>IF(ISNUMBER((Tasas!C19-Datos!BE19)/Datos!BE19),(Tasas!C19-Datos!BE19)/Datos!BE19," - ")</f>
        <v>-7.8264691622749773E-3</v>
      </c>
      <c r="J19" s="807">
        <f>IF(ISNUMBER((Tasas!D19-Datos!BF19)/Datos!BF19),(Tasas!D19-Datos!BF19)/Datos!BF19," - ")</f>
        <v>-0.31000191411414363</v>
      </c>
      <c r="K19" s="807">
        <f>IF(ISNUMBER((Tasas!E19-Datos!BG19)/Datos!BG19),(Tasas!E19-Datos!BG19)/Datos!BG19," - ")</f>
        <v>-3.4829083951392351E-2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FeRvUEWIit9UO/x9QuXguWzJOF6I2ee0SGDMRppEQWpJwde9tGVfrWIYmSjc4a7dJvadgLslyD+yJonxLWBLg==" saltValue="5C58gPLG0Y3wF+y+Qf5v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GIRONA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0.8929236499068901</v>
      </c>
      <c r="C9" s="443">
        <f>IF(ISNUMBER(NºAsuntos!I9/NºAsuntos!G9),NºAsuntos!I9/NºAsuntos!G9," - ")</f>
        <v>1.6141814389989573</v>
      </c>
      <c r="D9" s="444">
        <f>IF(ISNUMBER('Resol  Asuntos'!D9/NºAsuntos!G9),'Resol  Asuntos'!D9/NºAsuntos!G9," - ")</f>
        <v>0.33472367049009383</v>
      </c>
      <c r="E9" s="445">
        <f>IF(ISNUMBER((NºAsuntos!C9+NºAsuntos!E9)/NºAsuntos!G9),(NºAsuntos!C9+NºAsuntos!E9)/NºAsuntos!G9," - ")</f>
        <v>2.5939520333680917</v>
      </c>
      <c r="G9" s="463"/>
    </row>
    <row r="10" spans="1:7">
      <c r="A10" s="402" t="str">
        <f>Datos!A10</f>
        <v>Jdos. Violencia contra la mujer</v>
      </c>
      <c r="B10" s="442">
        <f>IF(ISNUMBER(NºAsuntos!G10/NºAsuntos!E10),NºAsuntos!G10/NºAsuntos!E10," - ")</f>
        <v>1.1818181818181819</v>
      </c>
      <c r="C10" s="443">
        <f>IF(ISNUMBER(NºAsuntos!I10/NºAsuntos!G10),NºAsuntos!I10/NºAsuntos!G10," - ")</f>
        <v>1.8205128205128205</v>
      </c>
      <c r="D10" s="444">
        <f>IF(ISNUMBER('Resol  Asuntos'!D10/NºAsuntos!G10),'Resol  Asuntos'!D10/NºAsuntos!G10," - ")</f>
        <v>0.38461538461538464</v>
      </c>
      <c r="E10" s="445">
        <f>IF(ISNUMBER((NºAsuntos!C10+NºAsuntos!E10)/NºAsuntos!G10),(NºAsuntos!C10+NºAsuntos!E10)/NºAsuntos!G10," - ")</f>
        <v>2.8205128205128207</v>
      </c>
      <c r="G10" s="463"/>
    </row>
    <row r="11" spans="1:7">
      <c r="A11" s="402" t="str">
        <f>Datos!A11</f>
        <v xml:space="preserve">Jdos. Familia                                   </v>
      </c>
      <c r="B11" s="442">
        <f>IF(ISNUMBER(NºAsuntos!G11/NºAsuntos!E11),NºAsuntos!G11/NºAsuntos!E11," - ")</f>
        <v>0.99691358024691357</v>
      </c>
      <c r="C11" s="443">
        <f>IF(ISNUMBER(NºAsuntos!I11/NºAsuntos!G11),NºAsuntos!I11/NºAsuntos!G11," - ")</f>
        <v>1.1547987616099071</v>
      </c>
      <c r="D11" s="444">
        <f>IF(ISNUMBER('Resol  Asuntos'!D11/NºAsuntos!G11),'Resol  Asuntos'!D11/NºAsuntos!G11," - ")</f>
        <v>0.23219814241486067</v>
      </c>
      <c r="E11" s="445">
        <f>IF(ISNUMBER((NºAsuntos!C11+NºAsuntos!E11)/NºAsuntos!G11),(NºAsuntos!C11+NºAsuntos!E11)/NºAsuntos!G11," - ")</f>
        <v>2.1547987616099071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0.90563543215997355</v>
      </c>
      <c r="C13" s="859">
        <f>IF(ISNUMBER(NºAsuntos!I13/NºAsuntos!G13),NºAsuntos!I13/NºAsuntos!G13," - ")</f>
        <v>1.5614963503649635</v>
      </c>
      <c r="D13" s="860">
        <f>IF(ISNUMBER('Resol  Asuntos'!D13/NºAsuntos!G13),'Resol  Asuntos'!D13/NºAsuntos!G13," - ")</f>
        <v>0.32299270072992703</v>
      </c>
      <c r="E13" s="861">
        <f>IF(ISNUMBER((NºAsuntos!C13+NºAsuntos!E13)/NºAsuntos!G13),(NºAsuntos!C13+NºAsuntos!E13)/NºAsuntos!G13," - ")</f>
        <v>2.5437956204379564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0.98409492552385758</v>
      </c>
      <c r="C15" s="443">
        <f>IF(ISNUMBER(NºAsuntos!I15/NºAsuntos!G15),NºAsuntos!I15/NºAsuntos!G15," - ")</f>
        <v>1.0656747049769113</v>
      </c>
      <c r="D15" s="444">
        <f>IF(ISNUMBER('Resol  Asuntos'!D15/NºAsuntos!G15),'Resol  Asuntos'!D15/NºAsuntos!G15," - ")</f>
        <v>0.12237044638276039</v>
      </c>
      <c r="E15" s="445">
        <f>IF(ISNUMBER((NºAsuntos!C15+NºAsuntos!E15)/NºAsuntos!G15),(NºAsuntos!C15+NºAsuntos!E15)/NºAsuntos!G15," - ")</f>
        <v>1.9640841457157516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1.0442477876106195</v>
      </c>
      <c r="C17" s="443">
        <f>IF(ISNUMBER(NºAsuntos!I17/NºAsuntos!G17),NºAsuntos!I17/NºAsuntos!G17," - ")</f>
        <v>0.4152542372881356</v>
      </c>
      <c r="D17" s="444">
        <f>IF(ISNUMBER('Resol  Asuntos'!D17/NºAsuntos!G17),'Resol  Asuntos'!D17/NºAsuntos!G17," - ")</f>
        <v>2.5423728813559324E-2</v>
      </c>
      <c r="E17" s="445">
        <f>IF(ISNUMBER((NºAsuntos!C17+NºAsuntos!E17)/NºAsuntos!G17),(NºAsuntos!C17+NºAsuntos!E17)/NºAsuntos!G17," - ")</f>
        <v>1.4152542372881356</v>
      </c>
      <c r="G17" s="463"/>
    </row>
    <row r="18" spans="1:7" ht="14.25" thickTop="1" thickBot="1">
      <c r="A18" s="848" t="str">
        <f>Datos!A18</f>
        <v>TOTAL</v>
      </c>
      <c r="B18" s="858">
        <f>IF(ISNUMBER(NºAsuntos!G18/NºAsuntos!E18),NºAsuntos!G18/NºAsuntos!E18," - ")</f>
        <v>0.98883720930232555</v>
      </c>
      <c r="C18" s="859">
        <f>IF(ISNUMBER(NºAsuntos!I18/NºAsuntos!G18),NºAsuntos!I18/NºAsuntos!G18," - ")</f>
        <v>1.0119943555973658</v>
      </c>
      <c r="D18" s="862">
        <f>IF(ISNUMBER('Resol  Asuntos'!D18/NºAsuntos!G18),'Resol  Asuntos'!D18/NºAsuntos!G18," - ")</f>
        <v>0.11429915333960489</v>
      </c>
      <c r="E18" s="861">
        <f>IF(ISNUMBER((NºAsuntos!C18+NºAsuntos!E18)/NºAsuntos!G18),(NºAsuntos!C18+NºAsuntos!E18)/NºAsuntos!G18," - ")</f>
        <v>1.9188617121354656</v>
      </c>
      <c r="G18" s="463"/>
    </row>
    <row r="19" spans="1:7" ht="15.75" customHeight="1" thickTop="1" thickBot="1">
      <c r="A19" s="793" t="str">
        <f>Datos!A19</f>
        <v>TOTAL JURISDICCIONES</v>
      </c>
      <c r="B19" s="808">
        <f>IF(ISNUMBER(NºAsuntos!G19/NºAsuntos!E19),NºAsuntos!G19/NºAsuntos!E19," - ")</f>
        <v>0.94019901458796251</v>
      </c>
      <c r="C19" s="809">
        <f>IF(ISNUMBER(NºAsuntos!I19/NºAsuntos!G19),NºAsuntos!I19/NºAsuntos!G19," - ")</f>
        <v>1.3214138923140155</v>
      </c>
      <c r="D19" s="810">
        <f>IF(ISNUMBER('Resol  Asuntos'!D19/NºAsuntos!G19),'Resol  Asuntos'!D19/NºAsuntos!G19," - ")</f>
        <v>0.23181257706535141</v>
      </c>
      <c r="E19" s="811">
        <f>IF(ISNUMBER((NºAsuntos!C19+NºAsuntos!E19)/NºAsuntos!G19),(NºAsuntos!C19+NºAsuntos!E19)/NºAsuntos!G19," - ")</f>
        <v>2.2707562679819153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4KHhFj9vujw/c97LP4OKi69aIpoHMrcDDBwUo0O5hLb9f4buMHOrtb4TuvnMN+E8JDZZrQfl0n+Bms2iF4PFQ==" saltValue="sn1wCQdHzZ/mabizuI/J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GIRONA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944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1056</v>
      </c>
      <c r="Y9" s="334">
        <f>SUM(W9:X9)</f>
        <v>1056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8065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1605</v>
      </c>
      <c r="AJ9" s="229" t="str">
        <f>IF(ISNUMBER(Datos!BW9),Datos!BW9," - ")</f>
        <v xml:space="preserve"> - </v>
      </c>
      <c r="AK9" s="228" t="str">
        <f>IF(ISNUMBER(Datos!BX9),Datos!BX9," - ")</f>
        <v xml:space="preserve"> - </v>
      </c>
      <c r="AL9" s="243">
        <f>IF(ISNUMBER(NºAsuntos!G9/NºAsuntos!E9),NºAsuntos!G9/NºAsuntos!E9," - ")</f>
        <v>0.8929236499068901</v>
      </c>
      <c r="AM9" s="260">
        <f>IF(ISNUMBER(((NºAsuntos!I9/NºAsuntos!G9)*11)/factor_trimestre),((NºAsuntos!I9/NºAsuntos!G9)*11)/factor_trimestre," - ")</f>
        <v>4.8425443169968725</v>
      </c>
      <c r="AN9" s="244">
        <f>IF(ISNUMBER('Resol  Asuntos'!D9/NºAsuntos!G9),'Resol  Asuntos'!D9/NºAsuntos!G9," - ")</f>
        <v>0.33472367049009383</v>
      </c>
      <c r="AO9" s="245">
        <f>IF(ISNUMBER((NºAsuntos!C9+NºAsuntos!E9)/NºAsuntos!G9),(NºAsuntos!C9+NºAsuntos!E9)/NºAsuntos!G9," - ")</f>
        <v>2.5939520333680917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77</v>
      </c>
      <c r="G10" s="333">
        <f>IF(ISNUMBER(Datos!I10),Datos!I10," - ")</f>
        <v>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42</v>
      </c>
      <c r="Y10" s="334">
        <f t="shared" ref="Y10:Y12" si="0">SUM(W10:X10)</f>
        <v>81</v>
      </c>
      <c r="Z10" s="335" t="str">
        <f>IF(ISNUMBER(Datos!CC10),Datos!CC10," - ")</f>
        <v xml:space="preserve"> - </v>
      </c>
      <c r="AA10" s="332">
        <f>IF(ISNUMBER(Datos!L10),Datos!L10,"-")</f>
        <v>71</v>
      </c>
      <c r="AB10" s="334">
        <f>IF(ISNUMBER(Datos!R10),Datos!R10," - ")</f>
        <v>95</v>
      </c>
      <c r="AC10" s="334">
        <f t="shared" ref="AC10:AC12" si="1">IF(ISNUMBER(AA10+AB10),AA10+AB10," - ")</f>
        <v>166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1.1818181818181819</v>
      </c>
      <c r="AM10" s="260">
        <f>IF(ISNUMBER(((NºAsuntos!I10/NºAsuntos!G10)*11)/factor_trimestre),((NºAsuntos!I10/NºAsuntos!G10)*11)/factor_trimestre," - ")</f>
        <v>5.4615384615384617</v>
      </c>
      <c r="AN10" s="244">
        <f>IF(ISNUMBER('Resol  Asuntos'!D10/NºAsuntos!G10),'Resol  Asuntos'!D10/NºAsuntos!G10," - ")</f>
        <v>0.38461538461538464</v>
      </c>
      <c r="AO10" s="245">
        <f>IF(ISNUMBER((NºAsuntos!C10+NºAsuntos!E10)/NºAsuntos!G10),(NºAsuntos!C10+NºAsuntos!E10)/NºAsuntos!G10," - ")</f>
        <v>2.8205128205128207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59</v>
      </c>
      <c r="Y11" s="334">
        <f t="shared" si="0"/>
        <v>59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556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150</v>
      </c>
      <c r="AJ11" s="231" t="str">
        <f>IF(ISNUMBER(Datos!BW11),Datos!BW11," - ")</f>
        <v xml:space="preserve"> - </v>
      </c>
      <c r="AK11" s="232" t="str">
        <f>IF(ISNUMBER(Datos!BX11),Datos!BX11," - ")</f>
        <v xml:space="preserve"> - </v>
      </c>
      <c r="AL11" s="243">
        <f>IF(ISNUMBER(NºAsuntos!G11/NºAsuntos!E11),NºAsuntos!G11/NºAsuntos!E11," - ")</f>
        <v>0.99691358024691357</v>
      </c>
      <c r="AM11" s="260">
        <f>IF(ISNUMBER(((NºAsuntos!I11/NºAsuntos!G11)*11)/factor_trimestre),((NºAsuntos!I11/NºAsuntos!G11)*11)/factor_trimestre," - ")</f>
        <v>3.4643962848297214</v>
      </c>
      <c r="AN11" s="244">
        <f>IF(ISNUMBER('Resol  Asuntos'!D11/NºAsuntos!G11),'Resol  Asuntos'!D11/NºAsuntos!G11," - ")</f>
        <v>0.23219814241486067</v>
      </c>
      <c r="AO11" s="245">
        <f>IF(ISNUMBER((NºAsuntos!C11+NºAsuntos!E11)/NºAsuntos!G11),(NºAsuntos!C11+NºAsuntos!E11)/NºAsuntos!G11," - ")</f>
        <v>2.1547987616099071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77</v>
      </c>
      <c r="G13" s="866">
        <f t="shared" si="3"/>
        <v>77</v>
      </c>
      <c r="H13" s="865">
        <f t="shared" si="3"/>
        <v>0</v>
      </c>
      <c r="I13" s="867">
        <f t="shared" si="3"/>
        <v>0</v>
      </c>
      <c r="J13" s="867">
        <f t="shared" si="3"/>
        <v>0</v>
      </c>
      <c r="K13" s="867">
        <f t="shared" si="3"/>
        <v>0</v>
      </c>
      <c r="L13" s="867">
        <f t="shared" si="3"/>
        <v>1009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1157</v>
      </c>
      <c r="Y13" s="868">
        <f t="shared" si="4"/>
        <v>1196</v>
      </c>
      <c r="Z13" s="868">
        <f t="shared" si="4"/>
        <v>0</v>
      </c>
      <c r="AA13" s="868">
        <f t="shared" si="4"/>
        <v>71</v>
      </c>
      <c r="AB13" s="868">
        <f t="shared" si="4"/>
        <v>8716</v>
      </c>
      <c r="AC13" s="868">
        <f t="shared" si="4"/>
        <v>166</v>
      </c>
      <c r="AD13" s="868">
        <f t="shared" si="4"/>
        <v>0</v>
      </c>
      <c r="AE13" s="872">
        <f t="shared" si="4"/>
        <v>0</v>
      </c>
      <c r="AF13" s="865">
        <f t="shared" si="4"/>
        <v>0</v>
      </c>
      <c r="AG13" s="873">
        <f t="shared" si="4"/>
        <v>0</v>
      </c>
      <c r="AH13" s="870">
        <f t="shared" si="4"/>
        <v>0</v>
      </c>
      <c r="AI13" s="865">
        <f t="shared" si="4"/>
        <v>1770</v>
      </c>
      <c r="AJ13" s="867">
        <f t="shared" si="4"/>
        <v>0</v>
      </c>
      <c r="AK13" s="870">
        <f>SUBTOTAL(9,AK9:AK12)</f>
        <v>0</v>
      </c>
      <c r="AL13" s="874">
        <f>IF(ISNUMBER(NºAsuntos!G13/NºAsuntos!E13),NºAsuntos!G13/NºAsuntos!E13," - ")</f>
        <v>0.90563543215997355</v>
      </c>
      <c r="AM13" s="874">
        <f>IF(ISNUMBER(((NºAsuntos!I13/NºAsuntos!G13)*11)/factor_trimestre),((NºAsuntos!I13/NºAsuntos!G13)*11)/factor_trimestre," - ")</f>
        <v>4.6844890510948911</v>
      </c>
      <c r="AN13" s="875">
        <f>IF(ISNUMBER('Resol  Asuntos'!D13/NºAsuntos!G13),'Resol  Asuntos'!D13/NºAsuntos!G13," - ")</f>
        <v>0.32299270072992703</v>
      </c>
      <c r="AO13" s="876">
        <f>IF(ISNUMBER((NºAsuntos!C13+NºAsuntos!E13)/NºAsuntos!G13),(NºAsuntos!C13+NºAsuntos!E13)/NºAsuntos!G13," - ")</f>
        <v>2.5437956204379564</v>
      </c>
      <c r="AP13" s="877" t="str">
        <f t="shared" si="2"/>
        <v xml:space="preserve"> - </v>
      </c>
      <c r="AQ13" s="877">
        <f>IF(ISNUMBER((H13-W13+K13)/(F13)),(H13-W13+K13)/(F13)," - ")</f>
        <v>-0.50649350649350644</v>
      </c>
      <c r="AR13" s="878">
        <f>IF(ISNUMBER((Datos!P13-Datos!Q13)/(Datos!R13-Datos!P13+Datos!Q13)),(Datos!P13-Datos!Q13)/(Datos!R13-Datos!P13+Datos!Q13)," - ")</f>
        <v>-1.6696750902527077E-2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4091</v>
      </c>
      <c r="G15" s="333">
        <f>IF(ISNUMBER(IF(D_I="SI",Datos!I15,Datos!I15+Datos!AC15)),IF(D_I="SI",Datos!I15,Datos!I15+Datos!AC15)," - ")</f>
        <v>3695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3898</v>
      </c>
      <c r="X15" s="226">
        <f>IF(ISNUMBER(Datos!Q15),Datos!Q15," - ")</f>
        <v>114</v>
      </c>
      <c r="Y15" s="334">
        <f>SUM(W15)</f>
        <v>3898</v>
      </c>
      <c r="Z15" s="335" t="str">
        <f>IF(ISNUMBER(Datos!CC15),Datos!CC15," - ")</f>
        <v xml:space="preserve"> - </v>
      </c>
      <c r="AA15" s="332">
        <f>IF(ISNUMBER(IF(D_I="SI",Datos!L15,Datos!L15+Datos!AF15)),IF(D_I="SI",Datos!L15,Datos!L15+Datos!AF15)," - ")</f>
        <v>4154</v>
      </c>
      <c r="AB15" s="334">
        <f>IF(ISNUMBER(Datos!R15),Datos!R15," - ")</f>
        <v>403</v>
      </c>
      <c r="AC15" s="334">
        <f t="shared" ref="AC15:AC17" si="6">IF(ISNUMBER(AA15+AB15),AA15+AB15," - ")</f>
        <v>4557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477</v>
      </c>
      <c r="AJ15" s="231" t="str">
        <f>IF(ISNUMBER(Datos!BW15),Datos!BW15," - ")</f>
        <v xml:space="preserve"> - </v>
      </c>
      <c r="AK15" s="232" t="str">
        <f>IF(ISNUMBER(Datos!BX15),Datos!BX15," - ")</f>
        <v xml:space="preserve"> - </v>
      </c>
      <c r="AL15" s="243">
        <f>IF(ISNUMBER(NºAsuntos!G15/NºAsuntos!E15),NºAsuntos!G15/NºAsuntos!E15," - ")</f>
        <v>0.98409492552385758</v>
      </c>
      <c r="AM15" s="260">
        <f>IF(ISNUMBER(((NºAsuntos!I15/NºAsuntos!G15)*11)/factor_trimestre),((NºAsuntos!I15/NºAsuntos!G15)*11)/factor_trimestre," - ")</f>
        <v>3.1970241149307341</v>
      </c>
      <c r="AN15" s="244">
        <f>IF(ISNUMBER('Resol  Asuntos'!D15/NºAsuntos!G15),'Resol  Asuntos'!D15/NºAsuntos!G15," - ")</f>
        <v>0.12237044638276039</v>
      </c>
      <c r="AO15" s="245">
        <f>IF(ISNUMBER((NºAsuntos!C15+NºAsuntos!E15)/NºAsuntos!G15),(NºAsuntos!C15+NºAsuntos!E15)/NºAsuntos!G15," - ")</f>
        <v>1.9640841457157516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1</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354</v>
      </c>
      <c r="X17" s="226">
        <f>IF(ISNUMBER(Datos!Q17),Datos!Q17," - ")</f>
        <v>1</v>
      </c>
      <c r="Y17" s="334">
        <f t="shared" si="7"/>
        <v>355</v>
      </c>
      <c r="Z17" s="335" t="str">
        <f>IF(ISNUMBER(Datos!CC17),Datos!CC17," - ")</f>
        <v xml:space="preserve"> - </v>
      </c>
      <c r="AA17" s="332">
        <f>IF(ISNUMBER(Datos!L17),Datos!L17,"-")</f>
        <v>147</v>
      </c>
      <c r="AB17" s="334">
        <f>IF(ISNUMBER(Datos!R17),Datos!R17," - ")</f>
        <v>8</v>
      </c>
      <c r="AC17" s="334">
        <f t="shared" si="6"/>
        <v>155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1.0442477876106195</v>
      </c>
      <c r="AM17" s="260">
        <f>IF(ISNUMBER(((NºAsuntos!I17/NºAsuntos!G17)*11)/factor_trimestre),((NºAsuntos!I17/NºAsuntos!G17)*11)/factor_trimestre," - ")</f>
        <v>1.2457627118644068</v>
      </c>
      <c r="AN17" s="244">
        <f>IF(ISNUMBER('Resol  Asuntos'!D17/NºAsuntos!G17),'Resol  Asuntos'!D17/NºAsuntos!G17," - ")</f>
        <v>2.5423728813559324E-2</v>
      </c>
      <c r="AO17" s="245">
        <f>IF(ISNUMBER((NºAsuntos!C17+NºAsuntos!E17)/NºAsuntos!G17),(NºAsuntos!C17+NºAsuntos!E17)/NºAsuntos!G17," - ")</f>
        <v>1.4152542372881356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4093</v>
      </c>
      <c r="G18" s="866">
        <f>SUBTOTAL(9,G15:G17)</f>
        <v>3859</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4252</v>
      </c>
      <c r="X18" s="867">
        <f t="shared" si="11"/>
        <v>115</v>
      </c>
      <c r="Y18" s="868">
        <f t="shared" si="11"/>
        <v>4253</v>
      </c>
      <c r="Z18" s="868">
        <f t="shared" si="11"/>
        <v>0</v>
      </c>
      <c r="AA18" s="868">
        <f t="shared" si="11"/>
        <v>4303</v>
      </c>
      <c r="AB18" s="868">
        <f t="shared" si="11"/>
        <v>412</v>
      </c>
      <c r="AC18" s="868">
        <f t="shared" si="11"/>
        <v>4715</v>
      </c>
      <c r="AD18" s="868">
        <f t="shared" si="11"/>
        <v>0</v>
      </c>
      <c r="AE18" s="872">
        <f t="shared" si="11"/>
        <v>0</v>
      </c>
      <c r="AF18" s="865">
        <f t="shared" si="11"/>
        <v>0</v>
      </c>
      <c r="AG18" s="873">
        <f t="shared" si="11"/>
        <v>0</v>
      </c>
      <c r="AH18" s="870">
        <f t="shared" si="11"/>
        <v>0</v>
      </c>
      <c r="AI18" s="865">
        <f t="shared" si="11"/>
        <v>486</v>
      </c>
      <c r="AJ18" s="867">
        <f t="shared" si="11"/>
        <v>0</v>
      </c>
      <c r="AK18" s="870">
        <f t="shared" si="11"/>
        <v>0</v>
      </c>
      <c r="AL18" s="874">
        <f>IF(ISNUMBER(NºAsuntos!G18/NºAsuntos!E18),NºAsuntos!G18/NºAsuntos!E18," - ")</f>
        <v>0.98883720930232555</v>
      </c>
      <c r="AM18" s="874">
        <f>IF(ISNUMBER(((NºAsuntos!I18/NºAsuntos!G18)*11)/factor_trimestre),((NºAsuntos!I18/NºAsuntos!G18)*11)/factor_trimestre," - ")</f>
        <v>3.0359830667920975</v>
      </c>
      <c r="AN18" s="875">
        <f>IF(ISNUMBER('Resol  Asuntos'!D18/NºAsuntos!G18),'Resol  Asuntos'!D18/NºAsuntos!G18," - ")</f>
        <v>0.11429915333960489</v>
      </c>
      <c r="AO18" s="876">
        <f>IF(ISNUMBER((NºAsuntos!C18+NºAsuntos!E18)/NºAsuntos!G18),(NºAsuntos!C18+NºAsuntos!E18)/NºAsuntos!G18," - ")</f>
        <v>1.9188617121354656</v>
      </c>
      <c r="AP18" s="877" t="str">
        <f t="shared" si="2"/>
        <v xml:space="preserve"> - </v>
      </c>
      <c r="AQ18" s="877">
        <f>IF(ISNUMBER((H18-W18+K18)/(F18)),(H18-W18+K18)/(F18)," - ")</f>
        <v>-1.0388468116296115</v>
      </c>
      <c r="AR18" s="878">
        <f>IF(ISNUMBER((Datos!P18-Datos!Q18)/(Datos!R18-Datos!P18+Datos!Q18)),(Datos!P18-Datos!Q18)/(Datos!R18-Datos!P18+Datos!Q18)," - ")</f>
        <v>4.3037974683544304E-2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4170</v>
      </c>
      <c r="G19" s="821">
        <f t="shared" si="13"/>
        <v>3936</v>
      </c>
      <c r="H19" s="820">
        <f t="shared" si="13"/>
        <v>0</v>
      </c>
      <c r="I19" s="822">
        <f t="shared" si="13"/>
        <v>0</v>
      </c>
      <c r="J19" s="822">
        <f t="shared" si="13"/>
        <v>0</v>
      </c>
      <c r="K19" s="881">
        <f t="shared" si="13"/>
        <v>0</v>
      </c>
      <c r="L19" s="822">
        <f t="shared" si="13"/>
        <v>1141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4291</v>
      </c>
      <c r="X19" s="821">
        <f t="shared" si="14"/>
        <v>1272</v>
      </c>
      <c r="Y19" s="828">
        <f t="shared" si="14"/>
        <v>5449</v>
      </c>
      <c r="Z19" s="828">
        <f t="shared" si="14"/>
        <v>0</v>
      </c>
      <c r="AA19" s="828">
        <f t="shared" si="14"/>
        <v>4374</v>
      </c>
      <c r="AB19" s="828">
        <f t="shared" si="14"/>
        <v>9128</v>
      </c>
      <c r="AC19" s="828">
        <f t="shared" si="14"/>
        <v>4881</v>
      </c>
      <c r="AD19" s="828">
        <f t="shared" si="14"/>
        <v>0</v>
      </c>
      <c r="AE19" s="830">
        <f t="shared" si="14"/>
        <v>0</v>
      </c>
      <c r="AF19" s="831">
        <f t="shared" si="14"/>
        <v>0</v>
      </c>
      <c r="AG19" s="832">
        <f t="shared" si="14"/>
        <v>0</v>
      </c>
      <c r="AH19" s="830">
        <f t="shared" si="14"/>
        <v>0</v>
      </c>
      <c r="AI19" s="820">
        <f t="shared" si="14"/>
        <v>2256</v>
      </c>
      <c r="AJ19" s="820">
        <f t="shared" si="14"/>
        <v>0</v>
      </c>
      <c r="AK19" s="830">
        <f t="shared" si="14"/>
        <v>0</v>
      </c>
      <c r="AL19" s="884">
        <f>IF(ISNUMBER(NºAsuntos!G19/NºAsuntos!E19),NºAsuntos!G19/NºAsuntos!E19," - ")</f>
        <v>0.94019901458796251</v>
      </c>
      <c r="AM19" s="885">
        <f>IF(ISNUMBER(((NºAsuntos!I19/NºAsuntos!G19)*11)/factor_trimestre),((NºAsuntos!I19/NºAsuntos!G19)*11)/factor_trimestre," - ")</f>
        <v>3.9642416769420468</v>
      </c>
      <c r="AN19" s="885">
        <f>IF(ISNUMBER('Resol  Asuntos'!D19/NºAsuntos!G19),'Resol  Asuntos'!D19/NºAsuntos!G19," - ")</f>
        <v>0.23181257706535141</v>
      </c>
      <c r="AO19" s="886">
        <f>IF(ISNUMBER((NºAsuntos!C19+NºAsuntos!E19)/NºAsuntos!G19),(NºAsuntos!C19+NºAsuntos!E19)/NºAsuntos!G19," - ")</f>
        <v>2.2707562679819153</v>
      </c>
      <c r="AP19" s="887" t="str">
        <f t="shared" si="2"/>
        <v xml:space="preserve"> - </v>
      </c>
      <c r="AQ19" s="888">
        <f>IF(OR(ISNUMBER(FIND("01",Criterios!A8,1)),ISNUMBER(FIND("02",Criterios!A8,1)),ISNUMBER(FIND("03",Criterios!A8,1)),ISNUMBER(FIND("04",Criterios!A8,1))),(I19-W19+K19)/(F19-K19),(H19-W19+K19)/(F19-K19))</f>
        <v>-1.0290167865707434</v>
      </c>
      <c r="AR19" s="889">
        <f>IF(ISNUMBER((Datos!P19-Datos!Q19)/(Datos!R19-Datos!P19+Datos!Q19)),(Datos!P19-Datos!Q19)/(Datos!R19-Datos!P19+Datos!Q19)," - ")</f>
        <v>-1.4148396155092342E-2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3.1001792062897122</v>
      </c>
      <c r="F21" s="252">
        <f>IF(ISNUMBER(STDEV(F8:F18)),STDEV(F8:F18),"-")</f>
        <v>2213.011070916727</v>
      </c>
      <c r="G21" s="253">
        <f>IF(ISNUMBER(STDEV(G8:G18)),STDEV(G8:G18),"-")</f>
        <v>1910.7562900589912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2055.5848478393364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722.16816403304369</v>
      </c>
      <c r="AJ21" s="252">
        <f t="shared" si="18"/>
        <v>0</v>
      </c>
      <c r="AK21" s="254">
        <f t="shared" si="18"/>
        <v>0</v>
      </c>
      <c r="AL21" s="249">
        <f t="shared" si="18"/>
        <v>9.6409259711952106E-2</v>
      </c>
      <c r="AM21" s="250">
        <f t="shared" si="18"/>
        <v>1.4230362530499747</v>
      </c>
      <c r="AN21" s="250">
        <f t="shared" si="18"/>
        <v>0.13514099525765461</v>
      </c>
      <c r="AO21" s="251">
        <f t="shared" si="18"/>
        <v>0.48493569582951551</v>
      </c>
      <c r="AP21" s="291" t="str">
        <f t="shared" si="18"/>
        <v>-</v>
      </c>
      <c r="AQ21" s="292">
        <f t="shared" si="18"/>
        <v>0.37643063204881116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8JmCg2ZjYcDNSw/rWbSwZBF3sAxVMXBupTnPXdA0o2TuYyexxNtx1H7OzWPI4PPrVq6Z92rlR5qEXAj32mBMjg==" saltValue="6eo5Y3wnS07BFLIy0v5v2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GIRONA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0.40666082383873797</v>
      </c>
      <c r="I9" s="350">
        <f>IF(ISNUMBER((Tasas!C9-Datos!BE9)/Datos!BE9),(Tasas!C9-Datos!BE9)/Datos!BE9," - ")</f>
        <v>-0.12845745903870359</v>
      </c>
      <c r="J9" s="349">
        <f>IF(ISNUMBER((Tasas!D9-Datos!BF9)/Datos!BF9),(Tasas!D9-Datos!BF9)/Datos!BF9," - ")</f>
        <v>-0.34288267505086673</v>
      </c>
      <c r="K9" s="351">
        <f>IF(ISNUMBER((Tasas!E9-Datos!BG9)/Datos!BG9),(Tasas!E9-Datos!BG9)/Datos!BG9," - ")</f>
        <v>-9.0510626071404365E-2</v>
      </c>
      <c r="M9" t="e">
        <f>IF(Monitorios="SI",Datos!CE9,0)</f>
        <v>#REF!</v>
      </c>
      <c r="N9" t="e">
        <f>IF(Monitorios="SI",Datos!CF9,0)</f>
        <v>#REF!</v>
      </c>
      <c r="O9" t="e">
        <f>IF(Monitorios="SI",Datos!CG9,0)</f>
        <v>#REF!</v>
      </c>
      <c r="P9" t="e">
        <f>IF(Monitorios="SI",Datos!CH9,0)</f>
        <v>#REF!</v>
      </c>
      <c r="Q9">
        <f>IF(J_V="SI",0,Datos!AG9)</f>
        <v>62</v>
      </c>
      <c r="R9">
        <f>IF(J_V="SI",0,Datos!AH9)</f>
        <v>73</v>
      </c>
      <c r="S9">
        <f>IF(J_V="SI",0,Datos!AI9)</f>
        <v>61</v>
      </c>
      <c r="T9">
        <f>IF(J_V="SI",0,Datos!AJ9)</f>
        <v>74</v>
      </c>
    </row>
    <row r="10" spans="2:20" ht="14.25">
      <c r="B10" s="275" t="s">
        <v>246</v>
      </c>
      <c r="C10" s="7" t="str">
        <f>Datos!A10</f>
        <v>Jdos. Violencia contra la mujer</v>
      </c>
      <c r="D10" s="352">
        <f>IF(ISNUMBER((Datos!I10-Datos!S10)/Datos!S10),(Datos!I10-Datos!S10)/Datos!S10," - ")</f>
        <v>0.1</v>
      </c>
      <c r="E10" s="348">
        <f>IF(ISNUMBER((Datos!J10-Datos!T10)/Datos!T10),(Datos!J10-Datos!T10)/Datos!T10," - ")</f>
        <v>0.17857142857142858</v>
      </c>
      <c r="F10" s="348">
        <f>IF(ISNUMBER((Datos!K10-Datos!U10)/Datos!U10),(Datos!K10-Datos!U10)/Datos!U10," - ")</f>
        <v>-2.5000000000000001E-2</v>
      </c>
      <c r="G10" s="349">
        <f>IF(ISNUMBER((Datos!L10-Datos!V10)/Datos!V10),(Datos!L10-Datos!V10)/Datos!V10," - ")</f>
        <v>0.22413793103448276</v>
      </c>
      <c r="H10" s="230">
        <f>IF(ISNUMBER((Datos!M10-Datos!W10)/Datos!W10),(Datos!M10-Datos!W10)/Datos!W10," - ")</f>
        <v>2</v>
      </c>
      <c r="I10" s="350">
        <f>IF(ISNUMBER((Tasas!C10-Datos!BE10)/Datos!BE10),(Tasas!C10-Datos!BE10)/Datos!BE10," - ")</f>
        <v>0.25552608311229003</v>
      </c>
      <c r="J10" s="349">
        <f>IF(ISNUMBER((Tasas!D10-Datos!BF10)/Datos!BF10),(Tasas!D10-Datos!BF10)/Datos!BF10," - ")</f>
        <v>2.0769230769230771</v>
      </c>
      <c r="K10" s="351">
        <f>IF(ISNUMBER((Tasas!E10-Datos!BG10)/Datos!BG10),(Tasas!E10-Datos!BG10)/Datos!BG10," - ")</f>
        <v>0.15122972265829407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-9.0909090909090912E-2</v>
      </c>
      <c r="I11" s="350">
        <f>IF(ISNUMBER((Tasas!C11-Datos!BE11)/Datos!BE11),(Tasas!C11-Datos!BE11)/Datos!BE11," - ")</f>
        <v>-0.13082602084745457</v>
      </c>
      <c r="J11" s="349">
        <f>IF(ISNUMBER((Tasas!D11-Datos!BF11)/Datos!BF11),(Tasas!D11-Datos!BF11)/Datos!BF11," - ")</f>
        <v>-0.62801506655956829</v>
      </c>
      <c r="K11" s="351">
        <f>IF(ISNUMBER((Tasas!E11-Datos!BG11)/Datos!BG11),(Tasas!E11-Datos!BG11)/Datos!BG11," - ")</f>
        <v>-7.4644150989938554E-2</v>
      </c>
      <c r="M11" t="e">
        <f>IF(Monitorios="SI",Datos!CE11,0)</f>
        <v>#REF!</v>
      </c>
      <c r="N11" t="e">
        <f>IF(Monitorios="SI",Datos!CF11,0)</f>
        <v>#REF!</v>
      </c>
      <c r="O11" t="e">
        <f>IF(Monitorios="SI",Datos!CG11,0)</f>
        <v>#REF!</v>
      </c>
      <c r="P11" t="e">
        <f>IF(Monitorios="SI",Datos!CH11,0)</f>
        <v>#REF!</v>
      </c>
      <c r="Q11">
        <f>IF(J_V="SI",0,Datos!AG11)</f>
        <v>153</v>
      </c>
      <c r="R11">
        <f>IF(J_V="SI",0,Datos!AH11)</f>
        <v>274</v>
      </c>
      <c r="S11">
        <f>IF(J_V="SI",0,Datos!AI11)</f>
        <v>213</v>
      </c>
      <c r="T11">
        <f>IF(J_V="SI",0,Datos!AJ11)</f>
        <v>214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0.35011441647597252</v>
      </c>
      <c r="I13" s="357">
        <f>IF(ISNUMBER((Tasas!C13-Datos!BE13)/Datos!BE13),(Tasas!C13-Datos!BE13)/Datos!BE13," - ")</f>
        <v>-0.11826207398958069</v>
      </c>
      <c r="J13" s="355">
        <f>IF(ISNUMBER((Tasas!D13-Datos!BF13)/Datos!BF13),(Tasas!D13-Datos!BF13)/Datos!BF13," - ")</f>
        <v>-0.38217588383510404</v>
      </c>
      <c r="K13" s="358">
        <f>IF(ISNUMBER((Tasas!E13-Datos!BG13)/Datos!BG13),(Tasas!E13-Datos!BG13)/Datos!BG13," - ")</f>
        <v>-8.1970527244380059E-2</v>
      </c>
      <c r="M13" t="e">
        <f>IF(Monitorios="SI",Datos!CE13,0)</f>
        <v>#REF!</v>
      </c>
      <c r="N13" t="e">
        <f>IF(Monitorios="SI",Datos!CF13,0)</f>
        <v>#REF!</v>
      </c>
      <c r="O13" t="e">
        <f>IF(Monitorios="SI",Datos!CG13,0)</f>
        <v>#REF!</v>
      </c>
      <c r="P13" t="e">
        <f>IF(Monitorios="SI",Datos!CH13,0)</f>
        <v>#REF!</v>
      </c>
      <c r="Q13">
        <f>IF(J_V="SI",0,Datos!AG13)</f>
        <v>215</v>
      </c>
      <c r="R13">
        <f>IF(J_V="SI",0,Datos!AH13)</f>
        <v>347</v>
      </c>
      <c r="S13">
        <f>IF(J_V="SI",0,Datos!AI13)</f>
        <v>274</v>
      </c>
      <c r="T13">
        <f>IF(J_V="SI",0,Datos!AJ13)</f>
        <v>288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1.7345814977973568E-2</v>
      </c>
      <c r="E15" s="348">
        <f>IF(ISNUMBER(
   IF(D_I="SI",(Datos!J15-Datos!T15)/Datos!T15,(Datos!J15+Datos!AD15-(Datos!T15+Datos!AL15))/(Datos!T15+Datos!AL15))
     ),IF(D_I="SI",(Datos!J15-Datos!T15)/Datos!T15,(Datos!J15+Datos!AD15-(Datos!T15+Datos!AL15))/(Datos!T15+Datos!AL15))," - ")</f>
        <v>0.14380594859948023</v>
      </c>
      <c r="F15" s="348">
        <f>IF(ISNUMBER(
   IF(D_I="SI",(Datos!K15-Datos!U15)/Datos!U15,(Datos!K15+Datos!AE15-(Datos!U15+Datos!AM15))/(Datos!U15+Datos!AM15))
     ),IF(D_I="SI",(Datos!K15-Datos!U15)/Datos!U15,(Datos!K15+Datos!AE15-(Datos!U15+Datos!AM15))/(Datos!U15+Datos!AM15))," - ")</f>
        <v>5.6082362503386614E-2</v>
      </c>
      <c r="G15" s="349">
        <f>IF(ISNUMBER(
   IF(D_I="SI",(Datos!L15-Datos!V15)/Datos!V15,(Datos!L15+Datos!AF15-(Datos!V15+Datos!AN15))/(Datos!V15+Datos!AN15))
     ),IF(D_I="SI",(Datos!L15-Datos!V15)/Datos!V15,(Datos!L15+Datos!AF15-(Datos!V15+Datos!AN15))/(Datos!V15+Datos!AN15))," - ")</f>
        <v>0.28527227722772275</v>
      </c>
      <c r="H15" s="230">
        <f>IF(ISNUMBER((Datos!M15-Datos!W15)/Datos!W15),(Datos!M15-Datos!W15)/Datos!W15," - ")</f>
        <v>-7.3786407766990289E-2</v>
      </c>
      <c r="I15" s="350">
        <f>IF(ISNUMBER((Tasas!C15-Datos!BE15)/Datos!BE15),(Tasas!C15-Datos!BE15)/Datos!BE15," - ")</f>
        <v>0.21701897774436246</v>
      </c>
      <c r="J15" s="349">
        <f>IF(ISNUMBER((Tasas!D15-Datos!BF15)/Datos!BF15),(Tasas!D15-Datos!BF15)/Datos!BF15," - ")</f>
        <v>-0.12297219883734251</v>
      </c>
      <c r="K15" s="351">
        <f>IF(ISNUMBER((Tasas!E15-Datos!BG15)/Datos!BG15),(Tasas!E15-Datos!BG15)/Datos!BG15," - ")</f>
        <v>2.1766678201104863E-2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0.21804511278195488</v>
      </c>
      <c r="E17" s="348">
        <f>IF(ISNUMBER(
   IF(D_I="SI",(Datos!J17-Datos!T17)/Datos!T17,(Datos!J17+Datos!AD17-(Datos!T17+Datos!AL17))/(Datos!T17+Datos!AL17))
     ),IF(D_I="SI",(Datos!J17-Datos!T17)/Datos!T17,(Datos!J17+Datos!AD17-(Datos!T17+Datos!AL17))/(Datos!T17+Datos!AL17))," - ")</f>
        <v>0.33992094861660077</v>
      </c>
      <c r="F17" s="348">
        <f>IF(ISNUMBER(
   IF(D_I="SI",(Datos!K17-Datos!U17)/Datos!U17,(Datos!K17+Datos!AE17-(Datos!U17+Datos!AM17))/(Datos!U17+Datos!AM17))
     ),IF(D_I="SI",(Datos!K17-Datos!U17)/Datos!U17,(Datos!K17+Datos!AE17-(Datos!U17+Datos!AM17))/(Datos!U17+Datos!AM17))," - ")</f>
        <v>0.39370078740157483</v>
      </c>
      <c r="G17" s="349">
        <f>IF(ISNUMBER(
   IF(D_I="SI",(Datos!L17-Datos!V17)/Datos!V17,(Datos!L17+Datos!AF17-(Datos!V17+Datos!AN17))/(Datos!V17+Datos!AN17))
     ),IF(D_I="SI",(Datos!L17-Datos!V17)/Datos!V17,(Datos!L17+Datos!AF17-(Datos!V17+Datos!AN17))/(Datos!V17+Datos!AN17))," - ")</f>
        <v>0.11363636363636363</v>
      </c>
      <c r="H17" s="230">
        <f>IF(ISNUMBER((Datos!M17-Datos!W17)/Datos!W17),(Datos!M17-Datos!W17)/Datos!W17," - ")</f>
        <v>0.2857142857142857</v>
      </c>
      <c r="I17" s="350">
        <f>IF(ISNUMBER((Tasas!C17-Datos!BE17)/Datos!BE17),(Tasas!C17-Datos!BE17)/Datos!BE17," - ")</f>
        <v>-0.20095017976373902</v>
      </c>
      <c r="J17" s="349">
        <f>IF(ISNUMBER((Tasas!D17-Datos!BF17)/Datos!BF17),(Tasas!D17-Datos!BF17)/Datos!BF17," - ")</f>
        <v>-7.7481840193704535E-2</v>
      </c>
      <c r="K17" s="351">
        <f>IF(ISNUMBER((Tasas!E17-Datos!BG17)/Datos!BG17),(Tasas!E17-Datos!BG17)/Datos!BG17," - ")</f>
        <v>-6.8718714323351165E-2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2.4422617467480753E-2</v>
      </c>
      <c r="E18" s="354">
        <f>IF(ISNUMBER(
   IF(D_I="SI",(Datos!J18-Datos!T18)/Datos!T18,(Datos!J18+Datos!AD18-(Datos!T18+Datos!AL18))/(Datos!T18+Datos!AL18))
     ),IF(D_I="SI",(Datos!J18-Datos!T18)/Datos!T18,(Datos!J18+Datos!AD18-(Datos!T18+Datos!AL18))/(Datos!T18+Datos!AL18))," - ")</f>
        <v>0.15715823466092574</v>
      </c>
      <c r="F18" s="354">
        <f>IF(ISNUMBER(
   IF(D_I="SI",(Datos!K18-Datos!U18)/Datos!U18,(Datos!K18+Datos!AE18-(Datos!U18+Datos!AM18))/(Datos!U18+Datos!AM18))
     ),IF(D_I="SI",(Datos!K18-Datos!U18)/Datos!U18,(Datos!K18+Datos!AE18-(Datos!U18+Datos!AM18))/(Datos!U18+Datos!AM18))," - ")</f>
        <v>7.782002534854246E-2</v>
      </c>
      <c r="G18" s="355">
        <f>IF(ISNUMBER(
   IF(D_I="SI",(Datos!L18-Datos!V18)/Datos!V18,(Datos!L18+Datos!AF18-(Datos!V18+Datos!AN18))/(Datos!V18+Datos!AN18))
     ),IF(D_I="SI",(Datos!L18-Datos!V18)/Datos!V18,(Datos!L18+Datos!AF18-(Datos!V18+Datos!AN18))/(Datos!V18+Datos!AN18))," - ")</f>
        <v>0.27837195484254307</v>
      </c>
      <c r="H18" s="356">
        <f>IF(ISNUMBER((Datos!M18-Datos!W18)/Datos!W18),(Datos!M18-Datos!W18)/Datos!W18," - ")</f>
        <v>-6.8965517241379309E-2</v>
      </c>
      <c r="I18" s="357">
        <f>IF(ISNUMBER((Tasas!C18-Datos!BE18)/Datos!BE18),(Tasas!C18-Datos!BE18)/Datos!BE18," - ")</f>
        <v>0.1860718160521711</v>
      </c>
      <c r="J18" s="355">
        <f>IF(ISNUMBER((Tasas!D18-Datos!BF18)/Datos!BF18),(Tasas!D18-Datos!BF18)/Datos!BF18," - ")</f>
        <v>-0.1361874330943654</v>
      </c>
      <c r="K18" s="358">
        <f>IF(ISNUMBER((Tasas!E18-Datos!BG18)/Datos!BG18),(Tasas!E18-Datos!BG18)/Datos!BG18," - ")</f>
        <v>1.1614252889805143E-2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8.3663868646803807E-2</v>
      </c>
      <c r="E19" s="363">
        <f>IF(ISNUMBER(
   IF(J_V="SI",(Datos!J19-Datos!T19)/Datos!T19,(Datos!J19+Datos!Z19-(Datos!T19+Datos!AH19))/(Datos!T19+Datos!AH19))
     ),IF(J_V="SI",(Datos!J19-Datos!T19)/Datos!T19,(Datos!J19+Datos!Z19-(Datos!T19+Datos!AH19))/(Datos!T19+Datos!AH19))," - ")</f>
        <v>0.20965291574149819</v>
      </c>
      <c r="F19" s="363">
        <f>IF(ISNUMBER(
   IF(J_V="SI",(Datos!K19-Datos!U19)/Datos!U19,(Datos!K19+Datos!AA19-(Datos!U19+Datos!AI19))/(Datos!U19+Datos!AI19))
     ),IF(J_V="SI",(Datos!K19-Datos!U19)/Datos!U19,(Datos!K19+Datos!AA19-(Datos!U19+Datos!AI19))/(Datos!U19+Datos!AI19))," - ")</f>
        <v>0.18035172832019405</v>
      </c>
      <c r="G19" s="364">
        <f>IF(ISNUMBER(
   IF(J_V="SI",(Datos!L19-Datos!V19)/Datos!V19,(Datos!L19+Datos!AB19-(Datos!V19+Datos!AJ19))/(Datos!V19+Datos!AJ19))
     ),IF(J_V="SI",(Datos!L19-Datos!V19)/Datos!V19,(Datos!L19+Datos!AB19-(Datos!V19+Datos!AJ19))/(Datos!V19+Datos!AJ19))," - ")</f>
        <v>0.17111374191785811</v>
      </c>
      <c r="H19" s="365">
        <f>IF(ISNUMBER((Datos!M19-Datos!W19)/Datos!W19),(Datos!M19-Datos!W19)/Datos!W19," - ")</f>
        <v>0.23076923076923078</v>
      </c>
      <c r="I19" s="362">
        <f>IF(ISNUMBER((Tasas!C19-Datos!BE19)/Datos!BE19),(Tasas!C19-Datos!BE19)/Datos!BE19," - ")</f>
        <v>-7.8264691622749773E-3</v>
      </c>
      <c r="J19" s="363">
        <f>IF(ISNUMBER((Tasas!D19-Datos!BF19)/Datos!BF19),(Tasas!D19-Datos!BF19)/Datos!BF19," - ")</f>
        <v>-0.31000191411414363</v>
      </c>
      <c r="K19" s="364">
        <f>IF(ISNUMBER((Tasas!E19-Datos!BG19)/Datos!BG19),(Tasas!E19-Datos!BG19)/Datos!BG19," - ")</f>
        <v>-3.4829083951392351E-2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9.020512081290763E-2</v>
      </c>
      <c r="E21" s="278">
        <f t="shared" si="1"/>
        <v>9.1169447311568313E-2</v>
      </c>
      <c r="F21" s="278">
        <f t="shared" si="1"/>
        <v>0.18409599831437853</v>
      </c>
      <c r="G21" s="279">
        <f t="shared" si="1"/>
        <v>0.12197456763198683</v>
      </c>
      <c r="H21" s="285">
        <f t="shared" si="1"/>
        <v>0.73722192270884146</v>
      </c>
      <c r="I21" s="277">
        <f t="shared" si="1"/>
        <v>0.19751799039830029</v>
      </c>
      <c r="J21" s="278">
        <f t="shared" si="1"/>
        <v>0.9119478572734806</v>
      </c>
      <c r="K21" s="279">
        <f t="shared" si="1"/>
        <v>8.7772571823148043E-2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drZ50fDAHqQDWujjYd6ooa2M6qoW44b0UGWa6utsr2+9oshOXbw9qFy4+Z9PLI1f/vcPBN5BATbMpaQaperQw==" saltValue="Nq96HBoz8Iusntwb9Awce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